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-HIV+" sheetId="1" r:id="rId4"/>
    <sheet state="visible" name="Data-HIV+ unpivoted" sheetId="2" r:id="rId5"/>
    <sheet state="visible" name="Data-počet testů" sheetId="3" r:id="rId6"/>
    <sheet state="visible" name="Způsob přenosu" sheetId="4" r:id="rId7"/>
    <sheet state="visible" name="HIV+ v roce 2022 dle věku" sheetId="5" r:id="rId8"/>
    <sheet state="visible" name=" HIV+ v roce 2022 dle věku - un" sheetId="6" r:id="rId9"/>
    <sheet state="visible" name="HIV - typ přenosu casová rada a" sheetId="7" r:id="rId10"/>
    <sheet state="visible" name="Unpivoted HIV - typ přenosu cas" sheetId="8" r:id="rId11"/>
    <sheet state="visible" name="HIV - typ přenosu časová řada -" sheetId="9" r:id="rId12"/>
    <sheet state="visible" name="Unpivoted HIV - typ přenosu čas" sheetId="10" r:id="rId13"/>
  </sheets>
  <definedNames/>
  <calcPr/>
</workbook>
</file>

<file path=xl/sharedStrings.xml><?xml version="1.0" encoding="utf-8"?>
<sst xmlns="http://schemas.openxmlformats.org/spreadsheetml/2006/main" count="960" uniqueCount="49">
  <si>
    <t>Počet pozitivních případů HIV v Česku</t>
  </si>
  <si>
    <t>Rok</t>
  </si>
  <si>
    <t>Muži</t>
  </si>
  <si>
    <t xml:space="preserve">Ženy </t>
  </si>
  <si>
    <t>Celkem</t>
  </si>
  <si>
    <t xml:space="preserve">Rok </t>
  </si>
  <si>
    <t>Kategorie</t>
  </si>
  <si>
    <t>Počet pozitivních případů</t>
  </si>
  <si>
    <t>Počet testů na HIV</t>
  </si>
  <si>
    <t>Způsob přenosu</t>
  </si>
  <si>
    <t>Podíl nově pozitivních případů v roce 2022</t>
  </si>
  <si>
    <t>Homosexuální / Bisexuální</t>
  </si>
  <si>
    <t>Heterosexuální</t>
  </si>
  <si>
    <t>Injekční uživatelé drog</t>
  </si>
  <si>
    <t>Injekční uživatelé drog a současně homosexuální/bisexuální</t>
  </si>
  <si>
    <t xml:space="preserve">Příjemci krve a krevních přípravků </t>
  </si>
  <si>
    <t>Nozokomiální</t>
  </si>
  <si>
    <t xml:space="preserve">Nezjištěný </t>
  </si>
  <si>
    <t>Kategorie věku</t>
  </si>
  <si>
    <t>Ženy</t>
  </si>
  <si>
    <t>15–19 let</t>
  </si>
  <si>
    <t>20–24 let</t>
  </si>
  <si>
    <t>25–29 let</t>
  </si>
  <si>
    <t>30–34 let</t>
  </si>
  <si>
    <t>35–39 let</t>
  </si>
  <si>
    <t>40–44 let</t>
  </si>
  <si>
    <t>45–49 let</t>
  </si>
  <si>
    <t>50–54 let</t>
  </si>
  <si>
    <t>55–59 let</t>
  </si>
  <si>
    <t>60+ let</t>
  </si>
  <si>
    <t>Pohlaví</t>
  </si>
  <si>
    <t>Počet nově pozitivních případů v roce 2022</t>
  </si>
  <si>
    <t>15-19 let</t>
  </si>
  <si>
    <t>20-24 let</t>
  </si>
  <si>
    <t>25-29 let</t>
  </si>
  <si>
    <t>30-34 let</t>
  </si>
  <si>
    <t>35-39 let</t>
  </si>
  <si>
    <t>40-44 let</t>
  </si>
  <si>
    <t>45-49 let</t>
  </si>
  <si>
    <t>50-54 let</t>
  </si>
  <si>
    <t>55-59 let</t>
  </si>
  <si>
    <t>Homosexuální/bisexuální</t>
  </si>
  <si>
    <t>Injekční uživatelé drog + homo/bisex</t>
  </si>
  <si>
    <t>Hemofilici</t>
  </si>
  <si>
    <t>Příjemci krve a krevních přípravků</t>
  </si>
  <si>
    <t>Z matky na dítě</t>
  </si>
  <si>
    <t>Nezjištěný/jiný</t>
  </si>
  <si>
    <t>Typ přenosu</t>
  </si>
  <si>
    <t>Počet případů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</si>
</sst>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Font="1"/>
    <xf borderId="0" fillId="0" fontId="1" numFmtId="10" xfId="0" applyAlignment="1" applyFont="1" applyNumberFormat="1">
      <alignment readingOrder="0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right" vertical="bottom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/>
      <c r="C1" s="1"/>
      <c r="D1" s="1"/>
    </row>
    <row r="2">
      <c r="A2" s="1" t="s">
        <v>1</v>
      </c>
      <c r="B2" s="1" t="s">
        <v>2</v>
      </c>
      <c r="C2" s="1" t="s">
        <v>3</v>
      </c>
      <c r="D2" s="1" t="s">
        <v>4</v>
      </c>
    </row>
    <row r="3">
      <c r="A3" s="1">
        <v>1985.0</v>
      </c>
      <c r="B3" s="1">
        <v>3.0</v>
      </c>
      <c r="C3" s="1">
        <v>0.0</v>
      </c>
      <c r="D3" s="1">
        <v>3.0</v>
      </c>
    </row>
    <row r="4">
      <c r="A4" s="1">
        <v>1986.0</v>
      </c>
      <c r="B4" s="1">
        <v>22.0</v>
      </c>
      <c r="C4" s="1">
        <v>1.0</v>
      </c>
      <c r="D4" s="1">
        <v>23.0</v>
      </c>
    </row>
    <row r="5">
      <c r="A5" s="1">
        <v>1987.0</v>
      </c>
      <c r="B5" s="1">
        <v>23.0</v>
      </c>
      <c r="C5" s="1">
        <v>1.0</v>
      </c>
      <c r="D5" s="1">
        <v>24.0</v>
      </c>
    </row>
    <row r="6">
      <c r="A6" s="1">
        <v>1988.0</v>
      </c>
      <c r="B6" s="1">
        <v>33.0</v>
      </c>
      <c r="C6" s="1">
        <v>2.0</v>
      </c>
      <c r="D6" s="1">
        <v>35.0</v>
      </c>
    </row>
    <row r="7">
      <c r="A7" s="1">
        <v>1989.0</v>
      </c>
      <c r="B7" s="1">
        <v>6.0</v>
      </c>
      <c r="C7" s="1">
        <v>2.0</v>
      </c>
      <c r="D7" s="1">
        <v>8.0</v>
      </c>
    </row>
    <row r="8">
      <c r="A8" s="1">
        <v>1990.0</v>
      </c>
      <c r="B8" s="1">
        <v>14.0</v>
      </c>
      <c r="C8" s="1">
        <v>1.0</v>
      </c>
      <c r="D8" s="1">
        <v>15.0</v>
      </c>
    </row>
    <row r="9">
      <c r="A9" s="1">
        <v>1991.0</v>
      </c>
      <c r="B9" s="1">
        <v>12.0</v>
      </c>
      <c r="C9" s="1">
        <v>1.0</v>
      </c>
      <c r="D9" s="1">
        <v>13.0</v>
      </c>
    </row>
    <row r="10">
      <c r="A10" s="1">
        <v>1992.0</v>
      </c>
      <c r="B10" s="1">
        <v>19.0</v>
      </c>
      <c r="C10" s="1">
        <v>4.0</v>
      </c>
      <c r="D10" s="1">
        <v>23.0</v>
      </c>
    </row>
    <row r="11">
      <c r="A11" s="1">
        <v>1993.0</v>
      </c>
      <c r="B11" s="1">
        <v>18.0</v>
      </c>
      <c r="C11" s="1">
        <v>9.0</v>
      </c>
      <c r="D11" s="1">
        <v>27.0</v>
      </c>
    </row>
    <row r="12">
      <c r="A12" s="1">
        <v>1994.0</v>
      </c>
      <c r="B12" s="1">
        <v>30.0</v>
      </c>
      <c r="C12" s="1">
        <v>8.0</v>
      </c>
      <c r="D12" s="1">
        <v>38.0</v>
      </c>
    </row>
    <row r="13">
      <c r="A13" s="1">
        <v>1995.0</v>
      </c>
      <c r="B13" s="1">
        <v>26.0</v>
      </c>
      <c r="C13" s="1">
        <v>14.0</v>
      </c>
      <c r="D13" s="1">
        <v>40.0</v>
      </c>
    </row>
    <row r="14">
      <c r="A14" s="1">
        <v>1996.0</v>
      </c>
      <c r="B14" s="1">
        <v>41.0</v>
      </c>
      <c r="C14" s="1">
        <v>10.0</v>
      </c>
      <c r="D14" s="1">
        <v>51.0</v>
      </c>
    </row>
    <row r="15">
      <c r="A15" s="1">
        <v>1997.0</v>
      </c>
      <c r="B15" s="1">
        <v>48.0</v>
      </c>
      <c r="C15" s="1">
        <v>14.0</v>
      </c>
      <c r="D15" s="1">
        <v>62.0</v>
      </c>
    </row>
    <row r="16">
      <c r="A16" s="1">
        <v>1998.0</v>
      </c>
      <c r="B16" s="1">
        <v>23.0</v>
      </c>
      <c r="C16" s="1">
        <v>7.0</v>
      </c>
      <c r="D16" s="1">
        <v>30.0</v>
      </c>
    </row>
    <row r="17">
      <c r="A17" s="1">
        <v>1999.0</v>
      </c>
      <c r="B17" s="1">
        <v>34.0</v>
      </c>
      <c r="C17" s="1">
        <v>16.0</v>
      </c>
      <c r="D17" s="1">
        <v>50.0</v>
      </c>
    </row>
    <row r="18">
      <c r="A18" s="1">
        <v>2000.0</v>
      </c>
      <c r="B18" s="1">
        <v>44.0</v>
      </c>
      <c r="C18" s="1">
        <v>14.0</v>
      </c>
      <c r="D18" s="1">
        <v>58.0</v>
      </c>
    </row>
    <row r="19">
      <c r="A19" s="1">
        <v>2001.0</v>
      </c>
      <c r="B19" s="1">
        <v>42.0</v>
      </c>
      <c r="C19" s="1">
        <v>9.0</v>
      </c>
      <c r="D19" s="1">
        <v>51.0</v>
      </c>
    </row>
    <row r="20">
      <c r="A20" s="1">
        <v>2002.0</v>
      </c>
      <c r="B20" s="1">
        <v>39.0</v>
      </c>
      <c r="C20" s="1">
        <v>11.0</v>
      </c>
      <c r="D20" s="1">
        <v>50.0</v>
      </c>
    </row>
    <row r="21">
      <c r="A21" s="1">
        <v>2003.0</v>
      </c>
      <c r="B21" s="1">
        <v>49.0</v>
      </c>
      <c r="C21" s="1">
        <v>14.0</v>
      </c>
      <c r="D21" s="1">
        <v>63.0</v>
      </c>
    </row>
    <row r="22">
      <c r="A22" s="1">
        <v>2004.0</v>
      </c>
      <c r="B22" s="1">
        <v>55.0</v>
      </c>
      <c r="C22" s="1">
        <v>17.0</v>
      </c>
      <c r="D22" s="1">
        <v>72.0</v>
      </c>
    </row>
    <row r="23">
      <c r="A23" s="1">
        <v>2005.0</v>
      </c>
      <c r="B23" s="1">
        <v>70.0</v>
      </c>
      <c r="C23" s="1">
        <v>20.0</v>
      </c>
      <c r="D23" s="1">
        <v>90.0</v>
      </c>
    </row>
    <row r="24">
      <c r="A24" s="1">
        <v>2006.0</v>
      </c>
      <c r="B24" s="1">
        <v>71.0</v>
      </c>
      <c r="C24" s="1">
        <v>20.0</v>
      </c>
      <c r="D24" s="1">
        <v>91.0</v>
      </c>
    </row>
    <row r="25">
      <c r="A25" s="1">
        <v>2007.0</v>
      </c>
      <c r="B25" s="1">
        <v>97.0</v>
      </c>
      <c r="C25" s="1">
        <v>24.0</v>
      </c>
      <c r="D25" s="1">
        <v>121.0</v>
      </c>
    </row>
    <row r="26">
      <c r="A26" s="1">
        <v>2008.0</v>
      </c>
      <c r="B26" s="1">
        <v>121.0</v>
      </c>
      <c r="C26" s="1">
        <v>27.0</v>
      </c>
      <c r="D26" s="1">
        <v>148.0</v>
      </c>
    </row>
    <row r="27">
      <c r="A27" s="1">
        <v>2009.0</v>
      </c>
      <c r="B27" s="1">
        <v>130.0</v>
      </c>
      <c r="C27" s="1">
        <v>26.0</v>
      </c>
      <c r="D27" s="1">
        <v>156.0</v>
      </c>
    </row>
    <row r="28">
      <c r="A28" s="1">
        <v>2010.0</v>
      </c>
      <c r="B28" s="1">
        <v>159.0</v>
      </c>
      <c r="C28" s="1">
        <v>21.0</v>
      </c>
      <c r="D28" s="1">
        <v>180.0</v>
      </c>
    </row>
    <row r="29">
      <c r="A29" s="1">
        <v>2011.0</v>
      </c>
      <c r="B29" s="1">
        <v>139.0</v>
      </c>
      <c r="C29" s="1">
        <v>14.0</v>
      </c>
      <c r="D29" s="1">
        <v>153.0</v>
      </c>
    </row>
    <row r="30">
      <c r="A30" s="1">
        <v>2012.0</v>
      </c>
      <c r="B30" s="1">
        <v>185.0</v>
      </c>
      <c r="C30" s="1">
        <v>27.0</v>
      </c>
      <c r="D30" s="1">
        <v>212.0</v>
      </c>
    </row>
    <row r="31">
      <c r="A31" s="1">
        <v>2013.0</v>
      </c>
      <c r="B31" s="1">
        <v>211.0</v>
      </c>
      <c r="C31" s="1">
        <v>24.0</v>
      </c>
      <c r="D31" s="1">
        <v>235.0</v>
      </c>
    </row>
    <row r="32">
      <c r="A32" s="1">
        <v>2014.0</v>
      </c>
      <c r="B32" s="1">
        <v>209.0</v>
      </c>
      <c r="C32" s="1">
        <v>23.0</v>
      </c>
      <c r="D32" s="1">
        <v>232.0</v>
      </c>
    </row>
    <row r="33">
      <c r="A33" s="1">
        <v>2015.0</v>
      </c>
      <c r="B33" s="1">
        <v>248.0</v>
      </c>
      <c r="C33" s="1">
        <v>18.0</v>
      </c>
      <c r="D33" s="1">
        <v>266.0</v>
      </c>
    </row>
    <row r="34">
      <c r="A34" s="1">
        <v>2016.0</v>
      </c>
      <c r="B34" s="1">
        <v>262.0</v>
      </c>
      <c r="C34" s="1">
        <v>24.0</v>
      </c>
      <c r="D34" s="1">
        <v>286.0</v>
      </c>
    </row>
    <row r="35">
      <c r="A35" s="1">
        <v>2017.0</v>
      </c>
      <c r="B35" s="1">
        <v>230.0</v>
      </c>
      <c r="C35" s="1">
        <v>24.0</v>
      </c>
      <c r="D35" s="1">
        <v>254.0</v>
      </c>
    </row>
    <row r="36">
      <c r="A36" s="1">
        <v>2018.0</v>
      </c>
      <c r="B36" s="1">
        <v>186.0</v>
      </c>
      <c r="C36" s="1">
        <v>22.0</v>
      </c>
      <c r="D36" s="1">
        <v>208.0</v>
      </c>
    </row>
    <row r="37">
      <c r="A37" s="1">
        <v>2019.0</v>
      </c>
      <c r="B37" s="1">
        <v>192.0</v>
      </c>
      <c r="C37" s="1">
        <v>30.0</v>
      </c>
      <c r="D37" s="1">
        <v>222.0</v>
      </c>
    </row>
    <row r="38">
      <c r="A38" s="1">
        <v>2020.0</v>
      </c>
      <c r="B38" s="1">
        <v>203.0</v>
      </c>
      <c r="C38" s="1">
        <v>48.0</v>
      </c>
      <c r="D38" s="1">
        <v>251.0</v>
      </c>
    </row>
    <row r="39">
      <c r="A39" s="1">
        <v>2021.0</v>
      </c>
      <c r="B39" s="1">
        <v>201.0</v>
      </c>
      <c r="C39" s="1">
        <v>32.0</v>
      </c>
      <c r="D39" s="1">
        <v>233.0</v>
      </c>
    </row>
    <row r="40">
      <c r="A40" s="1">
        <v>2022.0</v>
      </c>
      <c r="B40" s="1">
        <v>237.0</v>
      </c>
      <c r="C40" s="1">
        <v>55.0</v>
      </c>
      <c r="D40" s="1">
        <v>292.0</v>
      </c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" t="s">
        <v>1</v>
      </c>
      <c r="B1" s="7" t="s">
        <v>47</v>
      </c>
      <c r="C1" s="7" t="s">
        <v>48</v>
      </c>
      <c r="D1" s="5"/>
      <c r="E1" s="5"/>
      <c r="F1" s="5"/>
      <c r="G1" s="5"/>
      <c r="H1" s="5"/>
      <c r="I1" s="5"/>
      <c r="J1" s="5"/>
      <c r="K1" s="5"/>
    </row>
    <row r="2">
      <c r="A2" s="3">
        <v>1985.0</v>
      </c>
      <c r="B2" s="3" t="s">
        <v>41</v>
      </c>
      <c r="C2" s="3">
        <v>66.6666666666667</v>
      </c>
      <c r="D2" s="6"/>
      <c r="E2" s="6"/>
      <c r="F2" s="6"/>
      <c r="G2" s="6"/>
      <c r="H2" s="6"/>
      <c r="I2" s="6"/>
      <c r="J2" s="6"/>
      <c r="K2" s="6"/>
    </row>
    <row r="3">
      <c r="A3" s="3">
        <v>1985.0</v>
      </c>
      <c r="B3" s="3" t="s">
        <v>13</v>
      </c>
      <c r="C3" s="3">
        <v>0.0</v>
      </c>
      <c r="D3" s="6"/>
      <c r="E3" s="6"/>
      <c r="F3" s="6"/>
      <c r="G3" s="6"/>
      <c r="H3" s="6"/>
      <c r="I3" s="6"/>
      <c r="J3" s="6"/>
      <c r="K3" s="6"/>
    </row>
    <row r="4">
      <c r="A4" s="3">
        <v>1985.0</v>
      </c>
      <c r="B4" s="3" t="s">
        <v>42</v>
      </c>
      <c r="C4" s="3">
        <v>0.0</v>
      </c>
      <c r="D4" s="6"/>
      <c r="E4" s="6"/>
      <c r="F4" s="6"/>
      <c r="G4" s="6"/>
      <c r="H4" s="6"/>
      <c r="I4" s="6"/>
      <c r="J4" s="6"/>
      <c r="K4" s="6"/>
    </row>
    <row r="5">
      <c r="A5" s="3">
        <v>1985.0</v>
      </c>
      <c r="B5" s="3" t="s">
        <v>12</v>
      </c>
      <c r="C5" s="3">
        <v>0.0</v>
      </c>
      <c r="D5" s="6"/>
      <c r="E5" s="6"/>
      <c r="F5" s="6"/>
      <c r="G5" s="6"/>
      <c r="H5" s="6"/>
      <c r="I5" s="6"/>
      <c r="J5" s="6"/>
      <c r="K5" s="6"/>
    </row>
    <row r="6">
      <c r="A6" s="3">
        <v>1985.0</v>
      </c>
      <c r="B6" s="3" t="s">
        <v>43</v>
      </c>
      <c r="C6" s="3">
        <v>33.3333333333333</v>
      </c>
      <c r="D6" s="6"/>
      <c r="E6" s="6"/>
      <c r="F6" s="6"/>
      <c r="G6" s="6"/>
      <c r="H6" s="6"/>
      <c r="I6" s="6"/>
      <c r="J6" s="6"/>
      <c r="K6" s="6"/>
    </row>
    <row r="7">
      <c r="A7" s="3">
        <v>1985.0</v>
      </c>
      <c r="B7" s="3" t="s">
        <v>44</v>
      </c>
      <c r="C7" s="3">
        <v>0.0</v>
      </c>
      <c r="D7" s="6"/>
      <c r="E7" s="6"/>
      <c r="F7" s="6"/>
      <c r="G7" s="6"/>
      <c r="H7" s="6"/>
      <c r="I7" s="6"/>
      <c r="J7" s="6"/>
      <c r="K7" s="6"/>
    </row>
    <row r="8">
      <c r="A8" s="3">
        <v>1985.0</v>
      </c>
      <c r="B8" s="3" t="s">
        <v>45</v>
      </c>
      <c r="C8" s="3">
        <v>0.0</v>
      </c>
      <c r="D8" s="6"/>
      <c r="E8" s="6"/>
      <c r="F8" s="6"/>
      <c r="G8" s="6"/>
      <c r="H8" s="6"/>
      <c r="I8" s="6"/>
      <c r="J8" s="6"/>
      <c r="K8" s="6"/>
    </row>
    <row r="9">
      <c r="A9" s="3">
        <v>1985.0</v>
      </c>
      <c r="B9" s="3" t="s">
        <v>16</v>
      </c>
      <c r="C9" s="3">
        <v>0.0</v>
      </c>
      <c r="D9" s="6"/>
      <c r="E9" s="6"/>
      <c r="F9" s="6"/>
      <c r="G9" s="6"/>
      <c r="H9" s="6"/>
      <c r="I9" s="6"/>
      <c r="J9" s="6"/>
      <c r="K9" s="6"/>
    </row>
    <row r="10">
      <c r="A10" s="3">
        <v>1985.0</v>
      </c>
      <c r="B10" s="3" t="s">
        <v>46</v>
      </c>
      <c r="C10" s="3">
        <v>0.0</v>
      </c>
      <c r="D10" s="6"/>
      <c r="E10" s="6"/>
      <c r="F10" s="6"/>
      <c r="G10" s="6"/>
      <c r="H10" s="6"/>
      <c r="I10" s="6"/>
      <c r="J10" s="6"/>
      <c r="K10" s="6"/>
    </row>
    <row r="11">
      <c r="A11" s="3">
        <v>1985.0</v>
      </c>
      <c r="B11" s="3" t="s">
        <v>4</v>
      </c>
      <c r="C11" s="3">
        <v>100.0</v>
      </c>
      <c r="D11" s="6"/>
      <c r="E11" s="6"/>
      <c r="F11" s="6"/>
      <c r="G11" s="6"/>
      <c r="H11" s="6"/>
      <c r="I11" s="6"/>
      <c r="J11" s="6"/>
      <c r="K11" s="6"/>
    </row>
    <row r="12">
      <c r="A12" s="3">
        <v>1986.0</v>
      </c>
      <c r="B12" s="3" t="s">
        <v>41</v>
      </c>
      <c r="C12" s="3">
        <v>34.7826086956522</v>
      </c>
      <c r="D12" s="6"/>
      <c r="E12" s="6"/>
      <c r="F12" s="6"/>
      <c r="G12" s="6"/>
      <c r="H12" s="6"/>
      <c r="I12" s="6"/>
      <c r="J12" s="6"/>
      <c r="K12" s="6"/>
    </row>
    <row r="13">
      <c r="A13" s="3">
        <v>1986.0</v>
      </c>
      <c r="B13" s="3" t="s">
        <v>13</v>
      </c>
      <c r="C13" s="3">
        <v>0.0</v>
      </c>
      <c r="D13" s="6"/>
      <c r="E13" s="6"/>
      <c r="F13" s="6"/>
      <c r="G13" s="6"/>
      <c r="H13" s="6"/>
      <c r="I13" s="6"/>
      <c r="J13" s="6"/>
      <c r="K13" s="6"/>
    </row>
    <row r="14">
      <c r="A14" s="3">
        <v>1986.0</v>
      </c>
      <c r="B14" s="3" t="s">
        <v>42</v>
      </c>
      <c r="C14" s="3">
        <v>0.0</v>
      </c>
      <c r="D14" s="6"/>
      <c r="E14" s="6"/>
      <c r="F14" s="6"/>
      <c r="G14" s="6"/>
      <c r="H14" s="6"/>
      <c r="I14" s="6"/>
      <c r="J14" s="6"/>
      <c r="K14" s="6"/>
    </row>
    <row r="15">
      <c r="A15" s="3">
        <v>1986.0</v>
      </c>
      <c r="B15" s="3" t="s">
        <v>12</v>
      </c>
      <c r="C15" s="3">
        <v>4.34782608695652</v>
      </c>
      <c r="D15" s="6"/>
      <c r="E15" s="6"/>
      <c r="F15" s="6"/>
      <c r="G15" s="6"/>
      <c r="H15" s="6"/>
      <c r="I15" s="6"/>
      <c r="J15" s="6"/>
      <c r="K15" s="6"/>
    </row>
    <row r="16">
      <c r="A16" s="3">
        <v>1986.0</v>
      </c>
      <c r="B16" s="3" t="s">
        <v>43</v>
      </c>
      <c r="C16" s="3">
        <v>56.5217391304348</v>
      </c>
      <c r="D16" s="6"/>
      <c r="E16" s="6"/>
      <c r="F16" s="6"/>
      <c r="G16" s="6"/>
      <c r="H16" s="6"/>
      <c r="I16" s="6"/>
      <c r="J16" s="6"/>
      <c r="K16" s="6"/>
    </row>
    <row r="17">
      <c r="A17" s="3">
        <v>1986.0</v>
      </c>
      <c r="B17" s="3" t="s">
        <v>44</v>
      </c>
      <c r="C17" s="3">
        <v>0.0</v>
      </c>
      <c r="D17" s="6"/>
      <c r="E17" s="6"/>
      <c r="F17" s="6"/>
      <c r="G17" s="6"/>
      <c r="H17" s="6"/>
      <c r="I17" s="6"/>
      <c r="J17" s="6"/>
      <c r="K17" s="6"/>
    </row>
    <row r="18">
      <c r="A18" s="3">
        <v>1986.0</v>
      </c>
      <c r="B18" s="3" t="s">
        <v>45</v>
      </c>
      <c r="C18" s="3">
        <v>0.0</v>
      </c>
      <c r="D18" s="6"/>
      <c r="E18" s="6"/>
      <c r="F18" s="6"/>
      <c r="G18" s="6"/>
      <c r="H18" s="6"/>
      <c r="I18" s="6"/>
      <c r="J18" s="6"/>
      <c r="K18" s="6"/>
    </row>
    <row r="19">
      <c r="A19" s="3">
        <v>1986.0</v>
      </c>
      <c r="B19" s="3" t="s">
        <v>16</v>
      </c>
      <c r="C19" s="3">
        <v>0.0</v>
      </c>
      <c r="D19" s="6"/>
      <c r="E19" s="6"/>
      <c r="F19" s="6"/>
      <c r="G19" s="6"/>
      <c r="H19" s="6"/>
      <c r="I19" s="6"/>
      <c r="J19" s="6"/>
      <c r="K19" s="6"/>
    </row>
    <row r="20">
      <c r="A20" s="3">
        <v>1986.0</v>
      </c>
      <c r="B20" s="3" t="s">
        <v>46</v>
      </c>
      <c r="C20" s="3">
        <v>4.34782608695652</v>
      </c>
      <c r="D20" s="6"/>
      <c r="E20" s="6"/>
      <c r="F20" s="6"/>
      <c r="G20" s="6"/>
      <c r="H20" s="6"/>
      <c r="I20" s="6"/>
      <c r="J20" s="6"/>
      <c r="K20" s="6"/>
    </row>
    <row r="21">
      <c r="A21" s="3">
        <v>1986.0</v>
      </c>
      <c r="B21" s="3" t="s">
        <v>4</v>
      </c>
      <c r="C21" s="3">
        <v>100.0</v>
      </c>
      <c r="D21" s="6"/>
      <c r="E21" s="6"/>
      <c r="F21" s="6"/>
      <c r="G21" s="6"/>
      <c r="H21" s="6"/>
      <c r="I21" s="6"/>
      <c r="J21" s="6"/>
      <c r="K21" s="6"/>
    </row>
    <row r="22">
      <c r="A22" s="3">
        <v>1987.0</v>
      </c>
      <c r="B22" s="3" t="s">
        <v>41</v>
      </c>
      <c r="C22" s="3">
        <v>91.6666666666667</v>
      </c>
      <c r="D22" s="6"/>
      <c r="E22" s="6"/>
      <c r="F22" s="6"/>
      <c r="G22" s="6"/>
      <c r="H22" s="6"/>
      <c r="I22" s="6"/>
      <c r="J22" s="6"/>
      <c r="K22" s="6"/>
    </row>
    <row r="23">
      <c r="A23" s="3">
        <v>1987.0</v>
      </c>
      <c r="B23" s="3" t="s">
        <v>13</v>
      </c>
      <c r="C23" s="3">
        <v>0.0</v>
      </c>
      <c r="D23" s="6"/>
      <c r="E23" s="6"/>
      <c r="F23" s="6"/>
      <c r="G23" s="6"/>
      <c r="H23" s="6"/>
      <c r="I23" s="6"/>
      <c r="J23" s="6"/>
      <c r="K23" s="6"/>
    </row>
    <row r="24">
      <c r="A24" s="3">
        <v>1987.0</v>
      </c>
      <c r="B24" s="3" t="s">
        <v>42</v>
      </c>
      <c r="C24" s="3">
        <v>0.0</v>
      </c>
      <c r="D24" s="6"/>
      <c r="E24" s="6"/>
      <c r="F24" s="6"/>
      <c r="G24" s="6"/>
      <c r="H24" s="6"/>
      <c r="I24" s="6"/>
      <c r="J24" s="6"/>
      <c r="K24" s="6"/>
    </row>
    <row r="25">
      <c r="A25" s="3">
        <v>1987.0</v>
      </c>
      <c r="B25" s="3" t="s">
        <v>12</v>
      </c>
      <c r="C25" s="3">
        <v>4.16666666666667</v>
      </c>
      <c r="D25" s="6"/>
      <c r="E25" s="6"/>
      <c r="F25" s="6"/>
      <c r="G25" s="6"/>
      <c r="H25" s="6"/>
      <c r="I25" s="6"/>
      <c r="J25" s="6"/>
      <c r="K25" s="6"/>
    </row>
    <row r="26">
      <c r="A26" s="3">
        <v>1987.0</v>
      </c>
      <c r="B26" s="3" t="s">
        <v>43</v>
      </c>
      <c r="C26" s="3">
        <v>4.16666666666667</v>
      </c>
      <c r="D26" s="6"/>
      <c r="E26" s="6"/>
      <c r="F26" s="6"/>
      <c r="G26" s="6"/>
      <c r="H26" s="6"/>
      <c r="I26" s="6"/>
      <c r="J26" s="6"/>
      <c r="K26" s="6"/>
    </row>
    <row r="27">
      <c r="A27" s="3">
        <v>1987.0</v>
      </c>
      <c r="B27" s="3" t="s">
        <v>44</v>
      </c>
      <c r="C27" s="3">
        <v>0.0</v>
      </c>
      <c r="D27" s="6"/>
      <c r="E27" s="6"/>
      <c r="F27" s="6"/>
      <c r="G27" s="6"/>
      <c r="H27" s="6"/>
      <c r="I27" s="6"/>
      <c r="J27" s="6"/>
      <c r="K27" s="6"/>
    </row>
    <row r="28">
      <c r="A28" s="3">
        <v>1987.0</v>
      </c>
      <c r="B28" s="3" t="s">
        <v>45</v>
      </c>
      <c r="C28" s="3">
        <v>0.0</v>
      </c>
      <c r="D28" s="6"/>
      <c r="E28" s="6"/>
      <c r="F28" s="6"/>
      <c r="G28" s="6"/>
      <c r="H28" s="6"/>
      <c r="I28" s="6"/>
      <c r="J28" s="6"/>
      <c r="K28" s="6"/>
    </row>
    <row r="29">
      <c r="A29" s="3">
        <v>1987.0</v>
      </c>
      <c r="B29" s="3" t="s">
        <v>16</v>
      </c>
      <c r="C29" s="3">
        <v>0.0</v>
      </c>
      <c r="D29" s="6"/>
      <c r="E29" s="6"/>
      <c r="F29" s="6"/>
      <c r="G29" s="6"/>
      <c r="H29" s="6"/>
      <c r="I29" s="6"/>
      <c r="J29" s="6"/>
      <c r="K29" s="6"/>
    </row>
    <row r="30">
      <c r="A30" s="3">
        <v>1987.0</v>
      </c>
      <c r="B30" s="3" t="s">
        <v>46</v>
      </c>
      <c r="C30" s="3">
        <v>0.0</v>
      </c>
      <c r="D30" s="6"/>
      <c r="E30" s="6"/>
      <c r="F30" s="6"/>
      <c r="G30" s="6"/>
      <c r="H30" s="6"/>
      <c r="I30" s="6"/>
      <c r="J30" s="6"/>
      <c r="K30" s="6"/>
    </row>
    <row r="31">
      <c r="A31" s="3">
        <v>1987.0</v>
      </c>
      <c r="B31" s="3" t="s">
        <v>4</v>
      </c>
      <c r="C31" s="3">
        <v>100.0</v>
      </c>
      <c r="D31" s="6"/>
      <c r="E31" s="6"/>
      <c r="F31" s="6"/>
      <c r="G31" s="6"/>
      <c r="H31" s="6"/>
      <c r="I31" s="6"/>
      <c r="J31" s="6"/>
      <c r="K31" s="6"/>
    </row>
    <row r="32">
      <c r="A32" s="3">
        <v>1988.0</v>
      </c>
      <c r="B32" s="3" t="s">
        <v>41</v>
      </c>
      <c r="C32" s="3">
        <v>57.1428571428572</v>
      </c>
      <c r="D32" s="6"/>
      <c r="E32" s="6"/>
      <c r="F32" s="6"/>
      <c r="G32" s="6"/>
      <c r="H32" s="6"/>
      <c r="I32" s="6"/>
      <c r="J32" s="6"/>
      <c r="K32" s="6"/>
    </row>
    <row r="33">
      <c r="A33" s="3">
        <v>1988.0</v>
      </c>
      <c r="B33" s="3" t="s">
        <v>13</v>
      </c>
      <c r="C33" s="3">
        <v>0.0</v>
      </c>
      <c r="D33" s="6"/>
      <c r="E33" s="6"/>
      <c r="F33" s="6"/>
      <c r="G33" s="6"/>
      <c r="H33" s="6"/>
      <c r="I33" s="6"/>
      <c r="J33" s="6"/>
      <c r="K33" s="6"/>
    </row>
    <row r="34">
      <c r="A34" s="3">
        <v>1988.0</v>
      </c>
      <c r="B34" s="3" t="s">
        <v>42</v>
      </c>
      <c r="C34" s="3">
        <v>0.0</v>
      </c>
      <c r="D34" s="6"/>
      <c r="E34" s="6"/>
      <c r="F34" s="6"/>
      <c r="G34" s="6"/>
      <c r="H34" s="6"/>
      <c r="I34" s="6"/>
      <c r="J34" s="6"/>
      <c r="K34" s="6"/>
    </row>
    <row r="35">
      <c r="A35" s="3">
        <v>1988.0</v>
      </c>
      <c r="B35" s="3" t="s">
        <v>12</v>
      </c>
      <c r="C35" s="3">
        <v>8.57142857142857</v>
      </c>
      <c r="D35" s="6"/>
      <c r="E35" s="6"/>
      <c r="F35" s="6"/>
      <c r="G35" s="6"/>
      <c r="H35" s="6"/>
      <c r="I35" s="6"/>
      <c r="J35" s="6"/>
      <c r="K35" s="6"/>
    </row>
    <row r="36">
      <c r="A36" s="3">
        <v>1988.0</v>
      </c>
      <c r="B36" s="3" t="s">
        <v>43</v>
      </c>
      <c r="C36" s="3">
        <v>2.85714285714286</v>
      </c>
      <c r="D36" s="6"/>
      <c r="E36" s="6"/>
      <c r="F36" s="6"/>
      <c r="G36" s="6"/>
      <c r="H36" s="6"/>
      <c r="I36" s="6"/>
      <c r="J36" s="6"/>
      <c r="K36" s="6"/>
    </row>
    <row r="37">
      <c r="A37" s="3">
        <v>1988.0</v>
      </c>
      <c r="B37" s="3" t="s">
        <v>44</v>
      </c>
      <c r="C37" s="3">
        <v>31.4285714285714</v>
      </c>
      <c r="D37" s="6"/>
      <c r="E37" s="6"/>
      <c r="F37" s="6"/>
      <c r="G37" s="6"/>
      <c r="H37" s="6"/>
      <c r="I37" s="6"/>
      <c r="J37" s="6"/>
      <c r="K37" s="6"/>
    </row>
    <row r="38">
      <c r="A38" s="3">
        <v>1988.0</v>
      </c>
      <c r="B38" s="3" t="s">
        <v>45</v>
      </c>
      <c r="C38" s="3">
        <v>0.0</v>
      </c>
    </row>
    <row r="39">
      <c r="A39" s="3">
        <v>1988.0</v>
      </c>
      <c r="B39" s="3" t="s">
        <v>16</v>
      </c>
      <c r="C39" s="3">
        <v>0.0</v>
      </c>
    </row>
    <row r="40">
      <c r="A40" s="3">
        <v>1988.0</v>
      </c>
      <c r="B40" s="3" t="s">
        <v>46</v>
      </c>
      <c r="C40" s="3">
        <v>0.0</v>
      </c>
    </row>
    <row r="41">
      <c r="A41" s="3">
        <v>1988.0</v>
      </c>
      <c r="B41" s="3" t="s">
        <v>4</v>
      </c>
      <c r="C41" s="3">
        <v>100.0</v>
      </c>
    </row>
    <row r="42">
      <c r="A42" s="3">
        <v>1989.0</v>
      </c>
      <c r="B42" s="3" t="s">
        <v>41</v>
      </c>
      <c r="C42" s="3">
        <v>75.0</v>
      </c>
    </row>
    <row r="43">
      <c r="A43" s="3">
        <v>1989.0</v>
      </c>
      <c r="B43" s="3" t="s">
        <v>13</v>
      </c>
      <c r="C43" s="3">
        <v>0.0</v>
      </c>
    </row>
    <row r="44">
      <c r="A44" s="3">
        <v>1989.0</v>
      </c>
      <c r="B44" s="3" t="s">
        <v>42</v>
      </c>
      <c r="C44" s="3">
        <v>0.0</v>
      </c>
    </row>
    <row r="45">
      <c r="A45" s="3">
        <v>1989.0</v>
      </c>
      <c r="B45" s="3" t="s">
        <v>12</v>
      </c>
      <c r="C45" s="3">
        <v>12.5</v>
      </c>
    </row>
    <row r="46">
      <c r="A46" s="3">
        <v>1989.0</v>
      </c>
      <c r="B46" s="3" t="s">
        <v>43</v>
      </c>
      <c r="C46" s="3">
        <v>0.0</v>
      </c>
    </row>
    <row r="47">
      <c r="A47" s="3">
        <v>1989.0</v>
      </c>
      <c r="B47" s="3" t="s">
        <v>44</v>
      </c>
      <c r="C47" s="3">
        <v>12.5</v>
      </c>
    </row>
    <row r="48">
      <c r="A48" s="3">
        <v>1989.0</v>
      </c>
      <c r="B48" s="3" t="s">
        <v>45</v>
      </c>
      <c r="C48" s="3">
        <v>0.0</v>
      </c>
    </row>
    <row r="49">
      <c r="A49" s="3">
        <v>1989.0</v>
      </c>
      <c r="B49" s="3" t="s">
        <v>16</v>
      </c>
      <c r="C49" s="3">
        <v>0.0</v>
      </c>
    </row>
    <row r="50">
      <c r="A50" s="3">
        <v>1989.0</v>
      </c>
      <c r="B50" s="3" t="s">
        <v>46</v>
      </c>
      <c r="C50" s="3">
        <v>0.0</v>
      </c>
    </row>
    <row r="51">
      <c r="A51" s="3">
        <v>1989.0</v>
      </c>
      <c r="B51" s="3" t="s">
        <v>4</v>
      </c>
      <c r="C51" s="3">
        <v>100.0</v>
      </c>
    </row>
    <row r="52">
      <c r="A52" s="3">
        <v>1990.0</v>
      </c>
      <c r="B52" s="3" t="s">
        <v>41</v>
      </c>
      <c r="C52" s="3">
        <v>73.3333333333333</v>
      </c>
    </row>
    <row r="53">
      <c r="A53" s="3">
        <v>1990.0</v>
      </c>
      <c r="B53" s="3" t="s">
        <v>13</v>
      </c>
      <c r="C53" s="3">
        <v>0.0</v>
      </c>
    </row>
    <row r="54">
      <c r="A54" s="3">
        <v>1990.0</v>
      </c>
      <c r="B54" s="3" t="s">
        <v>42</v>
      </c>
      <c r="C54" s="3">
        <v>0.0</v>
      </c>
    </row>
    <row r="55">
      <c r="A55" s="3">
        <v>1990.0</v>
      </c>
      <c r="B55" s="3" t="s">
        <v>12</v>
      </c>
      <c r="C55" s="3">
        <v>13.3333333333333</v>
      </c>
    </row>
    <row r="56">
      <c r="A56" s="3">
        <v>1990.0</v>
      </c>
      <c r="B56" s="3" t="s">
        <v>43</v>
      </c>
      <c r="C56" s="3">
        <v>0.0</v>
      </c>
    </row>
    <row r="57">
      <c r="A57" s="3">
        <v>1990.0</v>
      </c>
      <c r="B57" s="3" t="s">
        <v>44</v>
      </c>
      <c r="C57" s="3">
        <v>13.3333333333333</v>
      </c>
    </row>
    <row r="58">
      <c r="A58" s="3">
        <v>1990.0</v>
      </c>
      <c r="B58" s="3" t="s">
        <v>45</v>
      </c>
      <c r="C58" s="3">
        <v>0.0</v>
      </c>
    </row>
    <row r="59">
      <c r="A59" s="3">
        <v>1990.0</v>
      </c>
      <c r="B59" s="3" t="s">
        <v>16</v>
      </c>
      <c r="C59" s="3">
        <v>0.0</v>
      </c>
    </row>
    <row r="60">
      <c r="A60" s="3">
        <v>1990.0</v>
      </c>
      <c r="B60" s="3" t="s">
        <v>46</v>
      </c>
      <c r="C60" s="3">
        <v>0.0</v>
      </c>
    </row>
    <row r="61">
      <c r="A61" s="3">
        <v>1990.0</v>
      </c>
      <c r="B61" s="3" t="s">
        <v>4</v>
      </c>
      <c r="C61" s="3">
        <v>100.0</v>
      </c>
    </row>
    <row r="62">
      <c r="A62" s="3">
        <v>1991.0</v>
      </c>
      <c r="B62" s="3" t="s">
        <v>41</v>
      </c>
      <c r="C62" s="3">
        <v>69.2307692307692</v>
      </c>
    </row>
    <row r="63">
      <c r="A63" s="3">
        <v>1991.0</v>
      </c>
      <c r="B63" s="3" t="s">
        <v>13</v>
      </c>
      <c r="C63" s="3">
        <v>7.69230769230769</v>
      </c>
    </row>
    <row r="64">
      <c r="A64" s="3">
        <v>1991.0</v>
      </c>
      <c r="B64" s="3" t="s">
        <v>42</v>
      </c>
      <c r="C64" s="3">
        <v>0.0</v>
      </c>
    </row>
    <row r="65">
      <c r="A65" s="3">
        <v>1991.0</v>
      </c>
      <c r="B65" s="3" t="s">
        <v>12</v>
      </c>
      <c r="C65" s="3">
        <v>15.3846153846154</v>
      </c>
    </row>
    <row r="66">
      <c r="A66" s="3">
        <v>1991.0</v>
      </c>
      <c r="B66" s="3" t="s">
        <v>43</v>
      </c>
      <c r="C66" s="3">
        <v>0.0</v>
      </c>
    </row>
    <row r="67">
      <c r="A67" s="3">
        <v>1991.0</v>
      </c>
      <c r="B67" s="3" t="s">
        <v>44</v>
      </c>
      <c r="C67" s="3">
        <v>0.0</v>
      </c>
    </row>
    <row r="68">
      <c r="A68" s="3">
        <v>1991.0</v>
      </c>
      <c r="B68" s="3" t="s">
        <v>45</v>
      </c>
      <c r="C68" s="3">
        <v>0.0</v>
      </c>
    </row>
    <row r="69">
      <c r="A69" s="3">
        <v>1991.0</v>
      </c>
      <c r="B69" s="3" t="s">
        <v>16</v>
      </c>
      <c r="C69" s="3">
        <v>0.0</v>
      </c>
    </row>
    <row r="70">
      <c r="A70" s="3">
        <v>1991.0</v>
      </c>
      <c r="B70" s="3" t="s">
        <v>46</v>
      </c>
      <c r="C70" s="3">
        <v>7.69230769230769</v>
      </c>
    </row>
    <row r="71">
      <c r="A71" s="3">
        <v>1991.0</v>
      </c>
      <c r="B71" s="3" t="s">
        <v>4</v>
      </c>
      <c r="C71" s="3">
        <v>100.0</v>
      </c>
    </row>
    <row r="72">
      <c r="A72" s="3">
        <v>1992.0</v>
      </c>
      <c r="B72" s="3" t="s">
        <v>41</v>
      </c>
      <c r="C72" s="3">
        <v>69.5652173913044</v>
      </c>
    </row>
    <row r="73">
      <c r="A73" s="3">
        <v>1992.0</v>
      </c>
      <c r="B73" s="3" t="s">
        <v>13</v>
      </c>
      <c r="C73" s="3">
        <v>0.0</v>
      </c>
    </row>
    <row r="74">
      <c r="A74" s="3">
        <v>1992.0</v>
      </c>
      <c r="B74" s="3" t="s">
        <v>42</v>
      </c>
      <c r="C74" s="3">
        <v>0.0</v>
      </c>
    </row>
    <row r="75">
      <c r="A75" s="3">
        <v>1992.0</v>
      </c>
      <c r="B75" s="3" t="s">
        <v>12</v>
      </c>
      <c r="C75" s="3">
        <v>26.0869565217391</v>
      </c>
    </row>
    <row r="76">
      <c r="A76" s="3">
        <v>1992.0</v>
      </c>
      <c r="B76" s="3" t="s">
        <v>43</v>
      </c>
      <c r="C76" s="3">
        <v>0.0</v>
      </c>
    </row>
    <row r="77">
      <c r="A77" s="3">
        <v>1992.0</v>
      </c>
      <c r="B77" s="3" t="s">
        <v>44</v>
      </c>
      <c r="C77" s="3">
        <v>0.0</v>
      </c>
    </row>
    <row r="78">
      <c r="A78" s="3">
        <v>1992.0</v>
      </c>
      <c r="B78" s="3" t="s">
        <v>45</v>
      </c>
      <c r="C78" s="3">
        <v>0.0</v>
      </c>
    </row>
    <row r="79">
      <c r="A79" s="3">
        <v>1992.0</v>
      </c>
      <c r="B79" s="3" t="s">
        <v>16</v>
      </c>
      <c r="C79" s="3">
        <v>0.0</v>
      </c>
    </row>
    <row r="80">
      <c r="A80" s="3">
        <v>1992.0</v>
      </c>
      <c r="B80" s="3" t="s">
        <v>46</v>
      </c>
      <c r="C80" s="3">
        <v>4.34782608695652</v>
      </c>
    </row>
    <row r="81">
      <c r="A81" s="3">
        <v>1992.0</v>
      </c>
      <c r="B81" s="3" t="s">
        <v>4</v>
      </c>
      <c r="C81" s="3">
        <v>100.0</v>
      </c>
    </row>
    <row r="82">
      <c r="A82" s="3">
        <v>1993.0</v>
      </c>
      <c r="B82" s="3" t="s">
        <v>41</v>
      </c>
      <c r="C82" s="3">
        <v>51.8518518518519</v>
      </c>
    </row>
    <row r="83">
      <c r="A83" s="3">
        <v>1993.0</v>
      </c>
      <c r="B83" s="3" t="s">
        <v>13</v>
      </c>
      <c r="C83" s="3">
        <v>7.40740740740741</v>
      </c>
    </row>
    <row r="84">
      <c r="A84" s="3">
        <v>1993.0</v>
      </c>
      <c r="B84" s="3" t="s">
        <v>42</v>
      </c>
      <c r="C84" s="3">
        <v>0.0</v>
      </c>
    </row>
    <row r="85">
      <c r="A85" s="3">
        <v>1993.0</v>
      </c>
      <c r="B85" s="3" t="s">
        <v>12</v>
      </c>
      <c r="C85" s="3">
        <v>33.3333333333333</v>
      </c>
    </row>
    <row r="86">
      <c r="A86" s="3">
        <v>1993.0</v>
      </c>
      <c r="B86" s="3" t="s">
        <v>43</v>
      </c>
      <c r="C86" s="3">
        <v>0.0</v>
      </c>
    </row>
    <row r="87">
      <c r="A87" s="3">
        <v>1993.0</v>
      </c>
      <c r="B87" s="3" t="s">
        <v>44</v>
      </c>
      <c r="C87" s="3">
        <v>0.0</v>
      </c>
    </row>
    <row r="88">
      <c r="A88" s="3">
        <v>1993.0</v>
      </c>
      <c r="B88" s="3" t="s">
        <v>45</v>
      </c>
      <c r="C88" s="3">
        <v>0.0</v>
      </c>
    </row>
    <row r="89">
      <c r="A89" s="3">
        <v>1993.0</v>
      </c>
      <c r="B89" s="3" t="s">
        <v>16</v>
      </c>
      <c r="C89" s="3">
        <v>0.0</v>
      </c>
    </row>
    <row r="90">
      <c r="A90" s="3">
        <v>1993.0</v>
      </c>
      <c r="B90" s="3" t="s">
        <v>46</v>
      </c>
      <c r="C90" s="3">
        <v>7.40740740740741</v>
      </c>
    </row>
    <row r="91">
      <c r="A91" s="3">
        <v>1993.0</v>
      </c>
      <c r="B91" s="3" t="s">
        <v>4</v>
      </c>
      <c r="C91" s="3">
        <v>100.0</v>
      </c>
    </row>
    <row r="92">
      <c r="A92" s="3">
        <v>1994.0</v>
      </c>
      <c r="B92" s="3" t="s">
        <v>41</v>
      </c>
      <c r="C92" s="3">
        <v>47.3684210526316</v>
      </c>
    </row>
    <row r="93">
      <c r="A93" s="3">
        <v>1994.0</v>
      </c>
      <c r="B93" s="3" t="s">
        <v>13</v>
      </c>
      <c r="C93" s="3">
        <v>5.26315789473684</v>
      </c>
    </row>
    <row r="94">
      <c r="A94" s="3">
        <v>1994.0</v>
      </c>
      <c r="B94" s="3" t="s">
        <v>42</v>
      </c>
      <c r="C94" s="3">
        <v>0.0</v>
      </c>
    </row>
    <row r="95">
      <c r="A95" s="3">
        <v>1994.0</v>
      </c>
      <c r="B95" s="3" t="s">
        <v>12</v>
      </c>
      <c r="C95" s="3">
        <v>42.1052631578947</v>
      </c>
    </row>
    <row r="96">
      <c r="A96" s="3">
        <v>1994.0</v>
      </c>
      <c r="B96" s="3" t="s">
        <v>43</v>
      </c>
      <c r="C96" s="3">
        <v>2.63157894736842</v>
      </c>
    </row>
    <row r="97">
      <c r="A97" s="3">
        <v>1994.0</v>
      </c>
      <c r="B97" s="3" t="s">
        <v>44</v>
      </c>
      <c r="C97" s="3">
        <v>0.0</v>
      </c>
    </row>
    <row r="98">
      <c r="A98" s="3">
        <v>1994.0</v>
      </c>
      <c r="B98" s="3" t="s">
        <v>45</v>
      </c>
      <c r="C98" s="3">
        <v>0.0</v>
      </c>
    </row>
    <row r="99">
      <c r="A99" s="3">
        <v>1994.0</v>
      </c>
      <c r="B99" s="3" t="s">
        <v>16</v>
      </c>
      <c r="C99" s="3">
        <v>0.0</v>
      </c>
    </row>
    <row r="100">
      <c r="A100" s="3">
        <v>1994.0</v>
      </c>
      <c r="B100" s="3" t="s">
        <v>46</v>
      </c>
      <c r="C100" s="3">
        <v>2.63157894736842</v>
      </c>
    </row>
    <row r="101">
      <c r="A101" s="3">
        <v>1994.0</v>
      </c>
      <c r="B101" s="3" t="s">
        <v>4</v>
      </c>
      <c r="C101" s="3">
        <v>100.0</v>
      </c>
    </row>
    <row r="102">
      <c r="A102" s="3">
        <v>1995.0</v>
      </c>
      <c r="B102" s="3" t="s">
        <v>41</v>
      </c>
      <c r="C102" s="3">
        <v>35.0</v>
      </c>
    </row>
    <row r="103">
      <c r="A103" s="3">
        <v>1995.0</v>
      </c>
      <c r="B103" s="3" t="s">
        <v>13</v>
      </c>
      <c r="C103" s="3">
        <v>7.5</v>
      </c>
    </row>
    <row r="104">
      <c r="A104" s="3">
        <v>1995.0</v>
      </c>
      <c r="B104" s="3" t="s">
        <v>42</v>
      </c>
      <c r="C104" s="3">
        <v>2.5</v>
      </c>
    </row>
    <row r="105">
      <c r="A105" s="3">
        <v>1995.0</v>
      </c>
      <c r="B105" s="3" t="s">
        <v>12</v>
      </c>
      <c r="C105" s="3">
        <v>47.5</v>
      </c>
    </row>
    <row r="106">
      <c r="A106" s="3">
        <v>1995.0</v>
      </c>
      <c r="B106" s="3" t="s">
        <v>43</v>
      </c>
      <c r="C106" s="3">
        <v>0.0</v>
      </c>
    </row>
    <row r="107">
      <c r="A107" s="3">
        <v>1995.0</v>
      </c>
      <c r="B107" s="3" t="s">
        <v>44</v>
      </c>
      <c r="C107" s="3">
        <v>0.0</v>
      </c>
    </row>
    <row r="108">
      <c r="A108" s="3">
        <v>1995.0</v>
      </c>
      <c r="B108" s="3" t="s">
        <v>45</v>
      </c>
      <c r="C108" s="3">
        <v>0.0</v>
      </c>
    </row>
    <row r="109">
      <c r="A109" s="3">
        <v>1995.0</v>
      </c>
      <c r="B109" s="3" t="s">
        <v>16</v>
      </c>
      <c r="C109" s="3">
        <v>0.0</v>
      </c>
    </row>
    <row r="110">
      <c r="A110" s="3">
        <v>1995.0</v>
      </c>
      <c r="B110" s="3" t="s">
        <v>46</v>
      </c>
      <c r="C110" s="3">
        <v>7.5</v>
      </c>
    </row>
    <row r="111">
      <c r="A111" s="3">
        <v>1995.0</v>
      </c>
      <c r="B111" s="3" t="s">
        <v>4</v>
      </c>
      <c r="C111" s="3">
        <v>100.0</v>
      </c>
    </row>
    <row r="112">
      <c r="A112" s="3">
        <v>1996.0</v>
      </c>
      <c r="B112" s="3" t="s">
        <v>41</v>
      </c>
      <c r="C112" s="3">
        <v>62.7450980392157</v>
      </c>
    </row>
    <row r="113">
      <c r="A113" s="3">
        <v>1996.0</v>
      </c>
      <c r="B113" s="3" t="s">
        <v>13</v>
      </c>
      <c r="C113" s="3">
        <v>3.92156862745098</v>
      </c>
    </row>
    <row r="114">
      <c r="A114" s="3">
        <v>1996.0</v>
      </c>
      <c r="B114" s="3" t="s">
        <v>42</v>
      </c>
      <c r="C114" s="3">
        <v>0.0</v>
      </c>
    </row>
    <row r="115">
      <c r="A115" s="3">
        <v>1996.0</v>
      </c>
      <c r="B115" s="3" t="s">
        <v>12</v>
      </c>
      <c r="C115" s="3">
        <v>33.3333333333333</v>
      </c>
    </row>
    <row r="116">
      <c r="A116" s="3">
        <v>1996.0</v>
      </c>
      <c r="B116" s="3" t="s">
        <v>43</v>
      </c>
      <c r="C116" s="3">
        <v>0.0</v>
      </c>
    </row>
    <row r="117">
      <c r="A117" s="3">
        <v>1996.0</v>
      </c>
      <c r="B117" s="3" t="s">
        <v>44</v>
      </c>
      <c r="C117" s="3">
        <v>0.0</v>
      </c>
    </row>
    <row r="118">
      <c r="A118" s="3">
        <v>1996.0</v>
      </c>
      <c r="B118" s="3" t="s">
        <v>45</v>
      </c>
      <c r="C118" s="3">
        <v>0.0</v>
      </c>
    </row>
    <row r="119">
      <c r="A119" s="3">
        <v>1996.0</v>
      </c>
      <c r="B119" s="3" t="s">
        <v>16</v>
      </c>
      <c r="C119" s="3">
        <v>0.0</v>
      </c>
    </row>
    <row r="120">
      <c r="A120" s="3">
        <v>1996.0</v>
      </c>
      <c r="B120" s="3" t="s">
        <v>46</v>
      </c>
      <c r="C120" s="3">
        <v>0.0</v>
      </c>
    </row>
    <row r="121">
      <c r="A121" s="3">
        <v>1996.0</v>
      </c>
      <c r="B121" s="3" t="s">
        <v>4</v>
      </c>
      <c r="C121" s="3">
        <v>100.0</v>
      </c>
    </row>
    <row r="122">
      <c r="A122" s="3">
        <v>1997.0</v>
      </c>
      <c r="B122" s="3" t="s">
        <v>41</v>
      </c>
      <c r="C122" s="3">
        <v>50.0</v>
      </c>
    </row>
    <row r="123">
      <c r="A123" s="3">
        <v>1997.0</v>
      </c>
      <c r="B123" s="3" t="s">
        <v>13</v>
      </c>
      <c r="C123" s="3">
        <v>1.61290322580645</v>
      </c>
    </row>
    <row r="124">
      <c r="A124" s="3">
        <v>1997.0</v>
      </c>
      <c r="B124" s="3" t="s">
        <v>42</v>
      </c>
      <c r="C124" s="3">
        <v>3.2258064516129</v>
      </c>
    </row>
    <row r="125">
      <c r="A125" s="3">
        <v>1997.0</v>
      </c>
      <c r="B125" s="3" t="s">
        <v>12</v>
      </c>
      <c r="C125" s="3">
        <v>40.3225806451613</v>
      </c>
    </row>
    <row r="126">
      <c r="A126" s="3">
        <v>1997.0</v>
      </c>
      <c r="B126" s="3" t="s">
        <v>43</v>
      </c>
      <c r="C126" s="3">
        <v>0.0</v>
      </c>
    </row>
    <row r="127">
      <c r="A127" s="3">
        <v>1997.0</v>
      </c>
      <c r="B127" s="3" t="s">
        <v>44</v>
      </c>
      <c r="C127" s="3">
        <v>0.0</v>
      </c>
    </row>
    <row r="128">
      <c r="A128" s="3">
        <v>1997.0</v>
      </c>
      <c r="B128" s="3" t="s">
        <v>45</v>
      </c>
      <c r="C128" s="3">
        <v>1.61290322580645</v>
      </c>
    </row>
    <row r="129">
      <c r="A129" s="3">
        <v>1997.0</v>
      </c>
      <c r="B129" s="3" t="s">
        <v>16</v>
      </c>
      <c r="C129" s="3">
        <v>0.0</v>
      </c>
    </row>
    <row r="130">
      <c r="A130" s="3">
        <v>1997.0</v>
      </c>
      <c r="B130" s="3" t="s">
        <v>46</v>
      </c>
      <c r="C130" s="3">
        <v>3.2258064516129</v>
      </c>
    </row>
    <row r="131">
      <c r="A131" s="3">
        <v>1997.0</v>
      </c>
      <c r="B131" s="3" t="s">
        <v>4</v>
      </c>
      <c r="C131" s="3">
        <v>100.0</v>
      </c>
    </row>
    <row r="132">
      <c r="A132" s="3">
        <v>1998.0</v>
      </c>
      <c r="B132" s="3" t="s">
        <v>41</v>
      </c>
      <c r="C132" s="3">
        <v>50.0</v>
      </c>
    </row>
    <row r="133">
      <c r="A133" s="3">
        <v>1998.0</v>
      </c>
      <c r="B133" s="3" t="s">
        <v>13</v>
      </c>
      <c r="C133" s="3">
        <v>10.0</v>
      </c>
    </row>
    <row r="134">
      <c r="A134" s="3">
        <v>1998.0</v>
      </c>
      <c r="B134" s="3" t="s">
        <v>42</v>
      </c>
      <c r="C134" s="3">
        <v>6.66666666666667</v>
      </c>
    </row>
    <row r="135">
      <c r="A135" s="3">
        <v>1998.0</v>
      </c>
      <c r="B135" s="3" t="s">
        <v>12</v>
      </c>
      <c r="C135" s="3">
        <v>30.0</v>
      </c>
    </row>
    <row r="136">
      <c r="A136" s="3">
        <v>1998.0</v>
      </c>
      <c r="B136" s="3" t="s">
        <v>43</v>
      </c>
      <c r="C136" s="3">
        <v>0.0</v>
      </c>
    </row>
    <row r="137">
      <c r="A137" s="3">
        <v>1998.0</v>
      </c>
      <c r="B137" s="3" t="s">
        <v>44</v>
      </c>
      <c r="C137" s="3">
        <v>0.0</v>
      </c>
    </row>
    <row r="138">
      <c r="A138" s="3">
        <v>1998.0</v>
      </c>
      <c r="B138" s="3" t="s">
        <v>45</v>
      </c>
      <c r="C138" s="3">
        <v>0.0</v>
      </c>
    </row>
    <row r="139">
      <c r="A139" s="3">
        <v>1998.0</v>
      </c>
      <c r="B139" s="3" t="s">
        <v>16</v>
      </c>
      <c r="C139" s="3">
        <v>3.33333333333333</v>
      </c>
    </row>
    <row r="140">
      <c r="A140" s="3">
        <v>1998.0</v>
      </c>
      <c r="B140" s="3" t="s">
        <v>46</v>
      </c>
      <c r="C140" s="3">
        <v>0.0</v>
      </c>
    </row>
    <row r="141">
      <c r="A141" s="3">
        <v>1998.0</v>
      </c>
      <c r="B141" s="3" t="s">
        <v>4</v>
      </c>
      <c r="C141" s="3">
        <v>100.0</v>
      </c>
    </row>
    <row r="142">
      <c r="A142" s="3">
        <v>1999.0</v>
      </c>
      <c r="B142" s="3" t="s">
        <v>41</v>
      </c>
      <c r="C142" s="3">
        <v>38.0</v>
      </c>
    </row>
    <row r="143">
      <c r="A143" s="3">
        <v>1999.0</v>
      </c>
      <c r="B143" s="3" t="s">
        <v>13</v>
      </c>
      <c r="C143" s="3">
        <v>2.0</v>
      </c>
    </row>
    <row r="144">
      <c r="A144" s="3">
        <v>1999.0</v>
      </c>
      <c r="B144" s="3" t="s">
        <v>42</v>
      </c>
      <c r="C144" s="3">
        <v>2.0</v>
      </c>
    </row>
    <row r="145">
      <c r="A145" s="3">
        <v>1999.0</v>
      </c>
      <c r="B145" s="3" t="s">
        <v>12</v>
      </c>
      <c r="C145" s="3">
        <v>48.0</v>
      </c>
    </row>
    <row r="146">
      <c r="A146" s="3">
        <v>1999.0</v>
      </c>
      <c r="B146" s="3" t="s">
        <v>43</v>
      </c>
      <c r="C146" s="3">
        <v>0.0</v>
      </c>
    </row>
    <row r="147">
      <c r="A147" s="3">
        <v>1999.0</v>
      </c>
      <c r="B147" s="3" t="s">
        <v>44</v>
      </c>
      <c r="C147" s="3">
        <v>0.0</v>
      </c>
    </row>
    <row r="148">
      <c r="A148" s="3">
        <v>1999.0</v>
      </c>
      <c r="B148" s="3" t="s">
        <v>45</v>
      </c>
      <c r="C148" s="3">
        <v>2.0</v>
      </c>
    </row>
    <row r="149">
      <c r="A149" s="3">
        <v>1999.0</v>
      </c>
      <c r="B149" s="3" t="s">
        <v>16</v>
      </c>
      <c r="C149" s="3">
        <v>2.0</v>
      </c>
    </row>
    <row r="150">
      <c r="A150" s="3">
        <v>1999.0</v>
      </c>
      <c r="B150" s="3" t="s">
        <v>46</v>
      </c>
      <c r="C150" s="3">
        <v>6.0</v>
      </c>
    </row>
    <row r="151">
      <c r="A151" s="3">
        <v>1999.0</v>
      </c>
      <c r="B151" s="3" t="s">
        <v>4</v>
      </c>
      <c r="C151" s="3">
        <v>100.0</v>
      </c>
    </row>
    <row r="152">
      <c r="A152" s="3">
        <v>2000.0</v>
      </c>
      <c r="B152" s="3" t="s">
        <v>41</v>
      </c>
      <c r="C152" s="3">
        <v>48.2758620689655</v>
      </c>
    </row>
    <row r="153">
      <c r="A153" s="3">
        <v>2000.0</v>
      </c>
      <c r="B153" s="3" t="s">
        <v>13</v>
      </c>
      <c r="C153" s="3">
        <v>6.89655172413793</v>
      </c>
    </row>
    <row r="154">
      <c r="A154" s="3">
        <v>2000.0</v>
      </c>
      <c r="B154" s="3" t="s">
        <v>42</v>
      </c>
      <c r="C154" s="3">
        <v>0.0</v>
      </c>
    </row>
    <row r="155">
      <c r="A155" s="3">
        <v>2000.0</v>
      </c>
      <c r="B155" s="3" t="s">
        <v>12</v>
      </c>
      <c r="C155" s="3">
        <v>37.9310344827586</v>
      </c>
    </row>
    <row r="156">
      <c r="A156" s="3">
        <v>2000.0</v>
      </c>
      <c r="B156" s="3" t="s">
        <v>43</v>
      </c>
      <c r="C156" s="3">
        <v>0.0</v>
      </c>
    </row>
    <row r="157">
      <c r="A157" s="3">
        <v>2000.0</v>
      </c>
      <c r="B157" s="3" t="s">
        <v>44</v>
      </c>
      <c r="C157" s="3">
        <v>0.0</v>
      </c>
    </row>
    <row r="158">
      <c r="A158" s="3">
        <v>2000.0</v>
      </c>
      <c r="B158" s="3" t="s">
        <v>45</v>
      </c>
      <c r="C158" s="3">
        <v>1.72413793103448</v>
      </c>
    </row>
    <row r="159">
      <c r="A159" s="3">
        <v>2000.0</v>
      </c>
      <c r="B159" s="3" t="s">
        <v>16</v>
      </c>
      <c r="C159" s="3">
        <v>0.0</v>
      </c>
    </row>
    <row r="160">
      <c r="A160" s="3">
        <v>2000.0</v>
      </c>
      <c r="B160" s="3" t="s">
        <v>46</v>
      </c>
      <c r="C160" s="3">
        <v>5.17241379310345</v>
      </c>
    </row>
    <row r="161">
      <c r="A161" s="3">
        <v>2000.0</v>
      </c>
      <c r="B161" s="3" t="s">
        <v>4</v>
      </c>
      <c r="C161" s="3">
        <v>100.0</v>
      </c>
    </row>
    <row r="162">
      <c r="A162" s="3">
        <v>2001.0</v>
      </c>
      <c r="B162" s="3" t="s">
        <v>41</v>
      </c>
      <c r="C162" s="3">
        <v>58.8235294117647</v>
      </c>
    </row>
    <row r="163">
      <c r="A163" s="3">
        <v>2001.0</v>
      </c>
      <c r="B163" s="3" t="s">
        <v>13</v>
      </c>
      <c r="C163" s="3">
        <v>7.84313725490196</v>
      </c>
    </row>
    <row r="164">
      <c r="A164" s="3">
        <v>2001.0</v>
      </c>
      <c r="B164" s="3" t="s">
        <v>42</v>
      </c>
      <c r="C164" s="3">
        <v>3.92156862745098</v>
      </c>
    </row>
    <row r="165">
      <c r="A165" s="3">
        <v>2001.0</v>
      </c>
      <c r="B165" s="3" t="s">
        <v>12</v>
      </c>
      <c r="C165" s="3">
        <v>27.4509803921569</v>
      </c>
    </row>
    <row r="166">
      <c r="A166" s="3">
        <v>2001.0</v>
      </c>
      <c r="B166" s="3" t="s">
        <v>43</v>
      </c>
      <c r="C166" s="3">
        <v>0.0</v>
      </c>
    </row>
    <row r="167">
      <c r="A167" s="3">
        <v>2001.0</v>
      </c>
      <c r="B167" s="3" t="s">
        <v>44</v>
      </c>
      <c r="C167" s="3">
        <v>0.0</v>
      </c>
    </row>
    <row r="168">
      <c r="A168" s="3">
        <v>2001.0</v>
      </c>
      <c r="B168" s="3" t="s">
        <v>45</v>
      </c>
      <c r="C168" s="3">
        <v>0.0</v>
      </c>
    </row>
    <row r="169">
      <c r="A169" s="3">
        <v>2001.0</v>
      </c>
      <c r="B169" s="3" t="s">
        <v>16</v>
      </c>
      <c r="C169" s="3">
        <v>0.0</v>
      </c>
    </row>
    <row r="170">
      <c r="A170" s="3">
        <v>2001.0</v>
      </c>
      <c r="B170" s="3" t="s">
        <v>46</v>
      </c>
      <c r="C170" s="3">
        <v>1.96078431372549</v>
      </c>
    </row>
    <row r="171">
      <c r="A171" s="3">
        <v>2001.0</v>
      </c>
      <c r="B171" s="3" t="s">
        <v>4</v>
      </c>
      <c r="C171" s="3">
        <v>100.0</v>
      </c>
    </row>
    <row r="172">
      <c r="A172" s="3">
        <v>2002.0</v>
      </c>
      <c r="B172" s="3" t="s">
        <v>41</v>
      </c>
      <c r="C172" s="3">
        <v>54.0</v>
      </c>
    </row>
    <row r="173">
      <c r="A173" s="3">
        <v>2002.0</v>
      </c>
      <c r="B173" s="3" t="s">
        <v>13</v>
      </c>
      <c r="C173" s="3">
        <v>4.0</v>
      </c>
    </row>
    <row r="174">
      <c r="A174" s="3">
        <v>2002.0</v>
      </c>
      <c r="B174" s="3" t="s">
        <v>42</v>
      </c>
      <c r="C174" s="3">
        <v>2.0</v>
      </c>
    </row>
    <row r="175">
      <c r="A175" s="3">
        <v>2002.0</v>
      </c>
      <c r="B175" s="3" t="s">
        <v>12</v>
      </c>
      <c r="C175" s="3">
        <v>40.0</v>
      </c>
    </row>
    <row r="176">
      <c r="A176" s="3">
        <v>2002.0</v>
      </c>
      <c r="B176" s="3" t="s">
        <v>43</v>
      </c>
      <c r="C176" s="3">
        <v>0.0</v>
      </c>
    </row>
    <row r="177">
      <c r="A177" s="3">
        <v>2002.0</v>
      </c>
      <c r="B177" s="3" t="s">
        <v>44</v>
      </c>
      <c r="C177" s="3">
        <v>0.0</v>
      </c>
    </row>
    <row r="178">
      <c r="A178" s="3">
        <v>2002.0</v>
      </c>
      <c r="B178" s="3" t="s">
        <v>45</v>
      </c>
      <c r="C178" s="3">
        <v>0.0</v>
      </c>
    </row>
    <row r="179">
      <c r="A179" s="3">
        <v>2002.0</v>
      </c>
      <c r="B179" s="3" t="s">
        <v>16</v>
      </c>
      <c r="C179" s="3">
        <v>0.0</v>
      </c>
    </row>
    <row r="180">
      <c r="A180" s="3">
        <v>2002.0</v>
      </c>
      <c r="B180" s="3" t="s">
        <v>46</v>
      </c>
      <c r="C180" s="3">
        <v>0.0</v>
      </c>
    </row>
    <row r="181">
      <c r="A181" s="3">
        <v>2002.0</v>
      </c>
      <c r="B181" s="3" t="s">
        <v>4</v>
      </c>
      <c r="C181" s="3">
        <v>100.0</v>
      </c>
    </row>
    <row r="182">
      <c r="A182" s="3">
        <v>2003.0</v>
      </c>
      <c r="B182" s="3" t="s">
        <v>41</v>
      </c>
      <c r="C182" s="3">
        <v>58.7301587301587</v>
      </c>
    </row>
    <row r="183">
      <c r="A183" s="3">
        <v>2003.0</v>
      </c>
      <c r="B183" s="3" t="s">
        <v>13</v>
      </c>
      <c r="C183" s="3">
        <v>6.34920634920635</v>
      </c>
    </row>
    <row r="184">
      <c r="A184" s="3">
        <v>2003.0</v>
      </c>
      <c r="B184" s="3" t="s">
        <v>42</v>
      </c>
      <c r="C184" s="3">
        <v>1.58730158730159</v>
      </c>
    </row>
    <row r="185">
      <c r="A185" s="3">
        <v>2003.0</v>
      </c>
      <c r="B185" s="3" t="s">
        <v>12</v>
      </c>
      <c r="C185" s="3">
        <v>30.1587301587302</v>
      </c>
    </row>
    <row r="186">
      <c r="A186" s="3">
        <v>2003.0</v>
      </c>
      <c r="B186" s="3" t="s">
        <v>43</v>
      </c>
      <c r="C186" s="3">
        <v>0.0</v>
      </c>
    </row>
    <row r="187">
      <c r="A187" s="3">
        <v>2003.0</v>
      </c>
      <c r="B187" s="3" t="s">
        <v>44</v>
      </c>
      <c r="C187" s="3">
        <v>0.0</v>
      </c>
    </row>
    <row r="188">
      <c r="A188" s="3">
        <v>2003.0</v>
      </c>
      <c r="B188" s="3" t="s">
        <v>45</v>
      </c>
      <c r="C188" s="3">
        <v>1.58730158730159</v>
      </c>
    </row>
    <row r="189">
      <c r="A189" s="3">
        <v>2003.0</v>
      </c>
      <c r="B189" s="3" t="s">
        <v>16</v>
      </c>
      <c r="C189" s="3">
        <v>0.0</v>
      </c>
    </row>
    <row r="190">
      <c r="A190" s="3">
        <v>2003.0</v>
      </c>
      <c r="B190" s="3" t="s">
        <v>46</v>
      </c>
      <c r="C190" s="3">
        <v>1.58730158730159</v>
      </c>
    </row>
    <row r="191">
      <c r="A191" s="3">
        <v>2003.0</v>
      </c>
      <c r="B191" s="3" t="s">
        <v>4</v>
      </c>
      <c r="C191" s="3">
        <v>100.0</v>
      </c>
    </row>
    <row r="192">
      <c r="A192" s="3">
        <v>2004.0</v>
      </c>
      <c r="B192" s="3" t="s">
        <v>41</v>
      </c>
      <c r="C192" s="3">
        <v>45.8333333333333</v>
      </c>
    </row>
    <row r="193">
      <c r="A193" s="3">
        <v>2004.0</v>
      </c>
      <c r="B193" s="3" t="s">
        <v>13</v>
      </c>
      <c r="C193" s="3">
        <v>8.33333333333333</v>
      </c>
    </row>
    <row r="194">
      <c r="A194" s="3">
        <v>2004.0</v>
      </c>
      <c r="B194" s="3" t="s">
        <v>42</v>
      </c>
      <c r="C194" s="3">
        <v>2.77777777777778</v>
      </c>
    </row>
    <row r="195">
      <c r="A195" s="3">
        <v>2004.0</v>
      </c>
      <c r="B195" s="3" t="s">
        <v>12</v>
      </c>
      <c r="C195" s="3">
        <v>43.0555555555556</v>
      </c>
    </row>
    <row r="196">
      <c r="A196" s="3">
        <v>2004.0</v>
      </c>
      <c r="B196" s="3" t="s">
        <v>43</v>
      </c>
      <c r="C196" s="3">
        <v>0.0</v>
      </c>
    </row>
    <row r="197">
      <c r="A197" s="3">
        <v>2004.0</v>
      </c>
      <c r="B197" s="3" t="s">
        <v>44</v>
      </c>
      <c r="C197" s="3">
        <v>0.0</v>
      </c>
    </row>
    <row r="198">
      <c r="A198" s="3">
        <v>2004.0</v>
      </c>
      <c r="B198" s="3" t="s">
        <v>45</v>
      </c>
      <c r="C198" s="3">
        <v>0.0</v>
      </c>
    </row>
    <row r="199">
      <c r="A199" s="3">
        <v>2004.0</v>
      </c>
      <c r="B199" s="3" t="s">
        <v>16</v>
      </c>
      <c r="C199" s="3">
        <v>0.0</v>
      </c>
    </row>
    <row r="200">
      <c r="A200" s="3">
        <v>2004.0</v>
      </c>
      <c r="B200" s="3" t="s">
        <v>46</v>
      </c>
      <c r="C200" s="3">
        <v>0.0</v>
      </c>
    </row>
    <row r="201">
      <c r="A201" s="3">
        <v>2004.0</v>
      </c>
      <c r="B201" s="3" t="s">
        <v>4</v>
      </c>
      <c r="C201" s="3">
        <v>100.0</v>
      </c>
    </row>
    <row r="202">
      <c r="A202" s="3">
        <v>2005.0</v>
      </c>
      <c r="B202" s="3" t="s">
        <v>41</v>
      </c>
      <c r="C202" s="3">
        <v>60.0</v>
      </c>
    </row>
    <row r="203">
      <c r="A203" s="3">
        <v>2005.0</v>
      </c>
      <c r="B203" s="3" t="s">
        <v>13</v>
      </c>
      <c r="C203" s="3">
        <v>4.44444444444444</v>
      </c>
    </row>
    <row r="204">
      <c r="A204" s="3">
        <v>2005.0</v>
      </c>
      <c r="B204" s="3" t="s">
        <v>42</v>
      </c>
      <c r="C204" s="3">
        <v>1.11111111111111</v>
      </c>
    </row>
    <row r="205">
      <c r="A205" s="3">
        <v>2005.0</v>
      </c>
      <c r="B205" s="3" t="s">
        <v>12</v>
      </c>
      <c r="C205" s="3">
        <v>33.3333333333333</v>
      </c>
    </row>
    <row r="206">
      <c r="A206" s="3">
        <v>2005.0</v>
      </c>
      <c r="B206" s="3" t="s">
        <v>43</v>
      </c>
      <c r="C206" s="3">
        <v>0.0</v>
      </c>
    </row>
    <row r="207">
      <c r="A207" s="3">
        <v>2005.0</v>
      </c>
      <c r="B207" s="3" t="s">
        <v>44</v>
      </c>
      <c r="C207" s="3">
        <v>0.0</v>
      </c>
    </row>
    <row r="208">
      <c r="A208" s="3">
        <v>2005.0</v>
      </c>
      <c r="B208" s="3" t="s">
        <v>45</v>
      </c>
      <c r="C208" s="3">
        <v>0.0</v>
      </c>
    </row>
    <row r="209">
      <c r="A209" s="3">
        <v>2005.0</v>
      </c>
      <c r="B209" s="3" t="s">
        <v>16</v>
      </c>
      <c r="C209" s="3">
        <v>0.0</v>
      </c>
    </row>
    <row r="210">
      <c r="A210" s="3">
        <v>2005.0</v>
      </c>
      <c r="B210" s="3" t="s">
        <v>46</v>
      </c>
      <c r="C210" s="3">
        <v>1.11111111111111</v>
      </c>
    </row>
    <row r="211">
      <c r="A211" s="3">
        <v>2005.0</v>
      </c>
      <c r="B211" s="3" t="s">
        <v>4</v>
      </c>
      <c r="C211" s="3">
        <v>100.0</v>
      </c>
    </row>
    <row r="212">
      <c r="A212" s="3">
        <v>2006.0</v>
      </c>
      <c r="B212" s="3" t="s">
        <v>41</v>
      </c>
      <c r="C212" s="3">
        <v>60.4395604395605</v>
      </c>
    </row>
    <row r="213">
      <c r="A213" s="3">
        <v>2006.0</v>
      </c>
      <c r="B213" s="3" t="s">
        <v>13</v>
      </c>
      <c r="C213" s="3">
        <v>5.49450549450549</v>
      </c>
    </row>
    <row r="214">
      <c r="A214" s="3">
        <v>2006.0</v>
      </c>
      <c r="B214" s="3" t="s">
        <v>42</v>
      </c>
      <c r="C214" s="3">
        <v>2.1978021978022</v>
      </c>
    </row>
    <row r="215">
      <c r="A215" s="3">
        <v>2006.0</v>
      </c>
      <c r="B215" s="3" t="s">
        <v>12</v>
      </c>
      <c r="C215" s="3">
        <v>28.5714285714286</v>
      </c>
    </row>
    <row r="216">
      <c r="A216" s="3">
        <v>2006.0</v>
      </c>
      <c r="B216" s="3" t="s">
        <v>43</v>
      </c>
      <c r="C216" s="3">
        <v>0.0</v>
      </c>
    </row>
    <row r="217">
      <c r="A217" s="3">
        <v>2006.0</v>
      </c>
      <c r="B217" s="3" t="s">
        <v>44</v>
      </c>
      <c r="C217" s="3">
        <v>0.0</v>
      </c>
    </row>
    <row r="218">
      <c r="A218" s="3">
        <v>2006.0</v>
      </c>
      <c r="B218" s="3" t="s">
        <v>45</v>
      </c>
      <c r="C218" s="3">
        <v>0.0</v>
      </c>
    </row>
    <row r="219">
      <c r="A219" s="3">
        <v>2006.0</v>
      </c>
      <c r="B219" s="3" t="s">
        <v>16</v>
      </c>
      <c r="C219" s="3">
        <v>0.0</v>
      </c>
    </row>
    <row r="220">
      <c r="A220" s="3">
        <v>2006.0</v>
      </c>
      <c r="B220" s="3" t="s">
        <v>46</v>
      </c>
      <c r="C220" s="3">
        <v>3.2967032967033</v>
      </c>
    </row>
    <row r="221">
      <c r="A221" s="3">
        <v>2006.0</v>
      </c>
      <c r="B221" s="3" t="s">
        <v>4</v>
      </c>
      <c r="C221" s="3">
        <v>100.0</v>
      </c>
    </row>
    <row r="222">
      <c r="A222" s="3">
        <v>2007.0</v>
      </c>
      <c r="B222" s="3" t="s">
        <v>41</v>
      </c>
      <c r="C222" s="3">
        <v>61.9834710743802</v>
      </c>
    </row>
    <row r="223">
      <c r="A223" s="3">
        <v>2007.0</v>
      </c>
      <c r="B223" s="3" t="s">
        <v>13</v>
      </c>
      <c r="C223" s="3">
        <v>9.91735537190083</v>
      </c>
    </row>
    <row r="224">
      <c r="A224" s="3">
        <v>2007.0</v>
      </c>
      <c r="B224" s="3" t="s">
        <v>42</v>
      </c>
      <c r="C224" s="3">
        <v>4.13223140495868</v>
      </c>
    </row>
    <row r="225">
      <c r="A225" s="3">
        <v>2007.0</v>
      </c>
      <c r="B225" s="3" t="s">
        <v>12</v>
      </c>
      <c r="C225" s="3">
        <v>23.1404958677686</v>
      </c>
    </row>
    <row r="226">
      <c r="A226" s="3">
        <v>2007.0</v>
      </c>
      <c r="B226" s="3" t="s">
        <v>43</v>
      </c>
      <c r="C226" s="3">
        <v>0.0</v>
      </c>
    </row>
    <row r="227">
      <c r="A227" s="3">
        <v>2007.0</v>
      </c>
      <c r="B227" s="3" t="s">
        <v>44</v>
      </c>
      <c r="C227" s="3">
        <v>0.0</v>
      </c>
    </row>
    <row r="228">
      <c r="A228" s="3">
        <v>2007.0</v>
      </c>
      <c r="B228" s="3" t="s">
        <v>45</v>
      </c>
      <c r="C228" s="3">
        <v>0.0</v>
      </c>
    </row>
    <row r="229">
      <c r="A229" s="3">
        <v>2007.0</v>
      </c>
      <c r="B229" s="3" t="s">
        <v>16</v>
      </c>
      <c r="C229" s="3">
        <v>0.0</v>
      </c>
    </row>
    <row r="230">
      <c r="A230" s="3">
        <v>2007.0</v>
      </c>
      <c r="B230" s="3" t="s">
        <v>46</v>
      </c>
      <c r="C230" s="3">
        <v>0.826446280991736</v>
      </c>
    </row>
    <row r="231">
      <c r="A231" s="3">
        <v>2007.0</v>
      </c>
      <c r="B231" s="3" t="s">
        <v>4</v>
      </c>
      <c r="C231" s="3">
        <v>100.0</v>
      </c>
    </row>
    <row r="232">
      <c r="A232" s="3">
        <v>2008.0</v>
      </c>
      <c r="B232" s="3" t="s">
        <v>41</v>
      </c>
      <c r="C232" s="3">
        <v>61.4864864864865</v>
      </c>
    </row>
    <row r="233">
      <c r="A233" s="3">
        <v>2008.0</v>
      </c>
      <c r="B233" s="3" t="s">
        <v>13</v>
      </c>
      <c r="C233" s="3">
        <v>6.08108108108108</v>
      </c>
    </row>
    <row r="234">
      <c r="A234" s="3">
        <v>2008.0</v>
      </c>
      <c r="B234" s="3" t="s">
        <v>42</v>
      </c>
      <c r="C234" s="3">
        <v>2.7027027027027</v>
      </c>
    </row>
    <row r="235">
      <c r="A235" s="3">
        <v>2008.0</v>
      </c>
      <c r="B235" s="3" t="s">
        <v>12</v>
      </c>
      <c r="C235" s="3">
        <v>28.3783783783784</v>
      </c>
    </row>
    <row r="236">
      <c r="A236" s="3">
        <v>2008.0</v>
      </c>
      <c r="B236" s="3" t="s">
        <v>43</v>
      </c>
      <c r="C236" s="3">
        <v>0.0</v>
      </c>
    </row>
    <row r="237">
      <c r="A237" s="3">
        <v>2008.0</v>
      </c>
      <c r="B237" s="3" t="s">
        <v>44</v>
      </c>
      <c r="C237" s="3">
        <v>0.0</v>
      </c>
    </row>
    <row r="238">
      <c r="A238" s="3">
        <v>2008.0</v>
      </c>
      <c r="B238" s="3" t="s">
        <v>45</v>
      </c>
      <c r="C238" s="3">
        <v>0.0</v>
      </c>
    </row>
    <row r="239">
      <c r="A239" s="3">
        <v>2008.0</v>
      </c>
      <c r="B239" s="3" t="s">
        <v>16</v>
      </c>
      <c r="C239" s="3">
        <v>0.0</v>
      </c>
    </row>
    <row r="240">
      <c r="A240" s="3">
        <v>2008.0</v>
      </c>
      <c r="B240" s="3" t="s">
        <v>46</v>
      </c>
      <c r="C240" s="3">
        <v>1.35135135135135</v>
      </c>
    </row>
    <row r="241">
      <c r="A241" s="3">
        <v>2008.0</v>
      </c>
      <c r="B241" s="3" t="s">
        <v>4</v>
      </c>
      <c r="C241" s="3">
        <v>100.0</v>
      </c>
    </row>
    <row r="242">
      <c r="A242" s="3">
        <v>2009.0</v>
      </c>
      <c r="B242" s="3" t="s">
        <v>41</v>
      </c>
      <c r="C242" s="3">
        <v>66.6666666666667</v>
      </c>
    </row>
    <row r="243">
      <c r="A243" s="3">
        <v>2009.0</v>
      </c>
      <c r="B243" s="3" t="s">
        <v>13</v>
      </c>
      <c r="C243" s="3">
        <v>2.56410256410256</v>
      </c>
    </row>
    <row r="244">
      <c r="A244" s="3">
        <v>2009.0</v>
      </c>
      <c r="B244" s="3" t="s">
        <v>42</v>
      </c>
      <c r="C244" s="3">
        <v>1.92307692307692</v>
      </c>
    </row>
    <row r="245">
      <c r="A245" s="3">
        <v>2009.0</v>
      </c>
      <c r="B245" s="3" t="s">
        <v>12</v>
      </c>
      <c r="C245" s="3">
        <v>27.5641025641026</v>
      </c>
    </row>
    <row r="246">
      <c r="A246" s="3">
        <v>2009.0</v>
      </c>
      <c r="B246" s="3" t="s">
        <v>43</v>
      </c>
      <c r="C246" s="3">
        <v>0.0</v>
      </c>
    </row>
    <row r="247">
      <c r="A247" s="3">
        <v>2009.0</v>
      </c>
      <c r="B247" s="3" t="s">
        <v>44</v>
      </c>
      <c r="C247" s="3">
        <v>0.0</v>
      </c>
    </row>
    <row r="248">
      <c r="A248" s="3">
        <v>2009.0</v>
      </c>
      <c r="B248" s="3" t="s">
        <v>45</v>
      </c>
      <c r="C248" s="3">
        <v>0.0</v>
      </c>
    </row>
    <row r="249">
      <c r="A249" s="3">
        <v>2009.0</v>
      </c>
      <c r="B249" s="3" t="s">
        <v>16</v>
      </c>
      <c r="C249" s="3">
        <v>0.0</v>
      </c>
    </row>
    <row r="250">
      <c r="A250" s="3">
        <v>2009.0</v>
      </c>
      <c r="B250" s="3" t="s">
        <v>46</v>
      </c>
      <c r="C250" s="3">
        <v>1.28205128205128</v>
      </c>
    </row>
    <row r="251">
      <c r="A251" s="3">
        <v>2009.0</v>
      </c>
      <c r="B251" s="3" t="s">
        <v>4</v>
      </c>
      <c r="C251" s="3">
        <v>100.0</v>
      </c>
    </row>
    <row r="252">
      <c r="A252" s="3">
        <v>2010.0</v>
      </c>
      <c r="B252" s="3" t="s">
        <v>41</v>
      </c>
      <c r="C252" s="3">
        <v>72.2222222222222</v>
      </c>
    </row>
    <row r="253">
      <c r="A253" s="3">
        <v>2010.0</v>
      </c>
      <c r="B253" s="3" t="s">
        <v>13</v>
      </c>
      <c r="C253" s="3">
        <v>2.22222222222222</v>
      </c>
    </row>
    <row r="254">
      <c r="A254" s="3">
        <v>2010.0</v>
      </c>
      <c r="B254" s="3" t="s">
        <v>42</v>
      </c>
      <c r="C254" s="3">
        <v>1.66666666666667</v>
      </c>
    </row>
    <row r="255">
      <c r="A255" s="3">
        <v>2010.0</v>
      </c>
      <c r="B255" s="3" t="s">
        <v>12</v>
      </c>
      <c r="C255" s="3">
        <v>21.6666666666667</v>
      </c>
    </row>
    <row r="256">
      <c r="A256" s="3">
        <v>2010.0</v>
      </c>
      <c r="B256" s="3" t="s">
        <v>43</v>
      </c>
      <c r="C256" s="3">
        <v>0.0</v>
      </c>
    </row>
    <row r="257">
      <c r="A257" s="3">
        <v>2010.0</v>
      </c>
      <c r="B257" s="3" t="s">
        <v>44</v>
      </c>
      <c r="C257" s="3">
        <v>0.0</v>
      </c>
    </row>
    <row r="258">
      <c r="A258" s="3">
        <v>2010.0</v>
      </c>
      <c r="B258" s="3" t="s">
        <v>45</v>
      </c>
      <c r="C258" s="3">
        <v>0.0</v>
      </c>
    </row>
    <row r="259">
      <c r="A259" s="3">
        <v>2010.0</v>
      </c>
      <c r="B259" s="3" t="s">
        <v>16</v>
      </c>
      <c r="C259" s="3">
        <v>0.0</v>
      </c>
    </row>
    <row r="260">
      <c r="A260" s="3">
        <v>2010.0</v>
      </c>
      <c r="B260" s="3" t="s">
        <v>46</v>
      </c>
      <c r="C260" s="3">
        <v>2.22222222222222</v>
      </c>
    </row>
    <row r="261">
      <c r="A261" s="3">
        <v>2010.0</v>
      </c>
      <c r="B261" s="3" t="s">
        <v>4</v>
      </c>
      <c r="C261" s="3">
        <v>100.0</v>
      </c>
    </row>
    <row r="262">
      <c r="A262" s="3">
        <v>2011.0</v>
      </c>
      <c r="B262" s="3" t="s">
        <v>41</v>
      </c>
      <c r="C262" s="3">
        <v>71.8954248366013</v>
      </c>
    </row>
    <row r="263">
      <c r="A263" s="3">
        <v>2011.0</v>
      </c>
      <c r="B263" s="3" t="s">
        <v>13</v>
      </c>
      <c r="C263" s="3">
        <v>3.92156862745098</v>
      </c>
    </row>
    <row r="264">
      <c r="A264" s="3">
        <v>2011.0</v>
      </c>
      <c r="B264" s="3" t="s">
        <v>42</v>
      </c>
      <c r="C264" s="3">
        <v>3.92156862745098</v>
      </c>
    </row>
    <row r="265">
      <c r="A265" s="3">
        <v>2011.0</v>
      </c>
      <c r="B265" s="3" t="s">
        <v>12</v>
      </c>
      <c r="C265" s="3">
        <v>16.9934640522876</v>
      </c>
    </row>
    <row r="266">
      <c r="A266" s="3">
        <v>2011.0</v>
      </c>
      <c r="B266" s="3" t="s">
        <v>43</v>
      </c>
      <c r="C266" s="3">
        <v>0.0</v>
      </c>
    </row>
    <row r="267">
      <c r="A267" s="3">
        <v>2011.0</v>
      </c>
      <c r="B267" s="3" t="s">
        <v>44</v>
      </c>
      <c r="C267" s="3">
        <v>0.0</v>
      </c>
    </row>
    <row r="268">
      <c r="A268" s="3">
        <v>2011.0</v>
      </c>
      <c r="B268" s="3" t="s">
        <v>45</v>
      </c>
      <c r="C268" s="3">
        <v>0.0</v>
      </c>
    </row>
    <row r="269">
      <c r="A269" s="3">
        <v>2011.0</v>
      </c>
      <c r="B269" s="3" t="s">
        <v>16</v>
      </c>
      <c r="C269" s="3">
        <v>0.65359477124183</v>
      </c>
    </row>
    <row r="270">
      <c r="A270" s="3">
        <v>2011.0</v>
      </c>
      <c r="B270" s="3" t="s">
        <v>46</v>
      </c>
      <c r="C270" s="3">
        <v>2.61437908496732</v>
      </c>
    </row>
    <row r="271">
      <c r="A271" s="3">
        <v>2011.0</v>
      </c>
      <c r="B271" s="3" t="s">
        <v>4</v>
      </c>
      <c r="C271" s="3">
        <v>100.0</v>
      </c>
    </row>
    <row r="272">
      <c r="A272" s="3">
        <v>2012.0</v>
      </c>
      <c r="B272" s="3" t="s">
        <v>41</v>
      </c>
      <c r="C272" s="3">
        <v>71.6981132075472</v>
      </c>
    </row>
    <row r="273">
      <c r="A273" s="3">
        <v>2012.0</v>
      </c>
      <c r="B273" s="3" t="s">
        <v>13</v>
      </c>
      <c r="C273" s="3">
        <v>2.35849056603774</v>
      </c>
    </row>
    <row r="274">
      <c r="A274" s="3">
        <v>2012.0</v>
      </c>
      <c r="B274" s="3" t="s">
        <v>42</v>
      </c>
      <c r="C274" s="3">
        <v>2.35849056603774</v>
      </c>
    </row>
    <row r="275">
      <c r="A275" s="3">
        <v>2012.0</v>
      </c>
      <c r="B275" s="3" t="s">
        <v>12</v>
      </c>
      <c r="C275" s="3">
        <v>19.3396226415094</v>
      </c>
    </row>
    <row r="276">
      <c r="A276" s="3">
        <v>2012.0</v>
      </c>
      <c r="B276" s="3" t="s">
        <v>43</v>
      </c>
      <c r="C276" s="3">
        <v>0.0</v>
      </c>
    </row>
    <row r="277">
      <c r="A277" s="3">
        <v>2012.0</v>
      </c>
      <c r="B277" s="3" t="s">
        <v>44</v>
      </c>
      <c r="C277" s="3">
        <v>0.0</v>
      </c>
    </row>
    <row r="278">
      <c r="A278" s="3">
        <v>2012.0</v>
      </c>
      <c r="B278" s="3" t="s">
        <v>45</v>
      </c>
      <c r="C278" s="3">
        <v>0.943396226415094</v>
      </c>
    </row>
    <row r="279">
      <c r="A279" s="3">
        <v>2012.0</v>
      </c>
      <c r="B279" s="3" t="s">
        <v>16</v>
      </c>
      <c r="C279" s="3">
        <v>0.471698113207547</v>
      </c>
    </row>
    <row r="280">
      <c r="A280" s="3">
        <v>2012.0</v>
      </c>
      <c r="B280" s="3" t="s">
        <v>46</v>
      </c>
      <c r="C280" s="3">
        <v>2.83018867924528</v>
      </c>
    </row>
    <row r="281">
      <c r="A281" s="3">
        <v>2012.0</v>
      </c>
      <c r="B281" s="3" t="s">
        <v>4</v>
      </c>
      <c r="C281" s="3">
        <v>100.0</v>
      </c>
    </row>
    <row r="282">
      <c r="A282" s="3">
        <v>2013.0</v>
      </c>
      <c r="B282" s="3" t="s">
        <v>41</v>
      </c>
      <c r="C282" s="3">
        <v>74.8936170212766</v>
      </c>
    </row>
    <row r="283">
      <c r="A283" s="3">
        <v>2013.0</v>
      </c>
      <c r="B283" s="3" t="s">
        <v>13</v>
      </c>
      <c r="C283" s="3">
        <v>2.5531914893617</v>
      </c>
    </row>
    <row r="284">
      <c r="A284" s="3">
        <v>2013.0</v>
      </c>
      <c r="B284" s="3" t="s">
        <v>42</v>
      </c>
      <c r="C284" s="3">
        <v>1.70212765957447</v>
      </c>
    </row>
    <row r="285">
      <c r="A285" s="3">
        <v>2013.0</v>
      </c>
      <c r="B285" s="3" t="s">
        <v>12</v>
      </c>
      <c r="C285" s="3">
        <v>19.1489361702128</v>
      </c>
    </row>
    <row r="286">
      <c r="A286" s="3">
        <v>2013.0</v>
      </c>
      <c r="B286" s="3" t="s">
        <v>43</v>
      </c>
      <c r="C286" s="3">
        <v>0.0</v>
      </c>
    </row>
    <row r="287">
      <c r="A287" s="3">
        <v>2013.0</v>
      </c>
      <c r="B287" s="3" t="s">
        <v>44</v>
      </c>
      <c r="C287" s="3">
        <v>0.0</v>
      </c>
    </row>
    <row r="288">
      <c r="A288" s="3">
        <v>2013.0</v>
      </c>
      <c r="B288" s="3" t="s">
        <v>45</v>
      </c>
      <c r="C288" s="3">
        <v>0.0</v>
      </c>
    </row>
    <row r="289">
      <c r="A289" s="3">
        <v>2013.0</v>
      </c>
      <c r="B289" s="3" t="s">
        <v>16</v>
      </c>
      <c r="C289" s="3">
        <v>0.0</v>
      </c>
    </row>
    <row r="290">
      <c r="A290" s="3">
        <v>2013.0</v>
      </c>
      <c r="B290" s="3" t="s">
        <v>46</v>
      </c>
      <c r="C290" s="3">
        <v>1.70212765957447</v>
      </c>
    </row>
    <row r="291">
      <c r="A291" s="3">
        <v>2013.0</v>
      </c>
      <c r="B291" s="3" t="s">
        <v>4</v>
      </c>
      <c r="C291" s="3">
        <v>100.0</v>
      </c>
    </row>
    <row r="292">
      <c r="A292" s="3">
        <v>2014.0</v>
      </c>
      <c r="B292" s="3" t="s">
        <v>41</v>
      </c>
      <c r="C292" s="3">
        <v>71.551724137931</v>
      </c>
    </row>
    <row r="293">
      <c r="A293" s="3">
        <v>2014.0</v>
      </c>
      <c r="B293" s="3" t="s">
        <v>13</v>
      </c>
      <c r="C293" s="3">
        <v>3.87931034482759</v>
      </c>
    </row>
    <row r="294">
      <c r="A294" s="3">
        <v>2014.0</v>
      </c>
      <c r="B294" s="3" t="s">
        <v>42</v>
      </c>
      <c r="C294" s="3">
        <v>2.58620689655172</v>
      </c>
    </row>
    <row r="295">
      <c r="A295" s="3">
        <v>2014.0</v>
      </c>
      <c r="B295" s="3" t="s">
        <v>12</v>
      </c>
      <c r="C295" s="3">
        <v>19.3965517241379</v>
      </c>
    </row>
    <row r="296">
      <c r="A296" s="3">
        <v>2014.0</v>
      </c>
      <c r="B296" s="3" t="s">
        <v>43</v>
      </c>
      <c r="C296" s="3">
        <v>0.0</v>
      </c>
    </row>
    <row r="297">
      <c r="A297" s="3">
        <v>2014.0</v>
      </c>
      <c r="B297" s="3" t="s">
        <v>44</v>
      </c>
      <c r="C297" s="3">
        <v>0.0</v>
      </c>
    </row>
    <row r="298">
      <c r="A298" s="3">
        <v>2014.0</v>
      </c>
      <c r="B298" s="3" t="s">
        <v>45</v>
      </c>
      <c r="C298" s="3">
        <v>0.431034482758621</v>
      </c>
    </row>
    <row r="299">
      <c r="A299" s="3">
        <v>2014.0</v>
      </c>
      <c r="B299" s="3" t="s">
        <v>16</v>
      </c>
      <c r="C299" s="3">
        <v>0.0</v>
      </c>
    </row>
    <row r="300">
      <c r="A300" s="3">
        <v>2014.0</v>
      </c>
      <c r="B300" s="3" t="s">
        <v>46</v>
      </c>
      <c r="C300" s="3">
        <v>2.1551724137931</v>
      </c>
    </row>
    <row r="301">
      <c r="A301" s="3">
        <v>2014.0</v>
      </c>
      <c r="B301" s="3" t="s">
        <v>4</v>
      </c>
      <c r="C301" s="3">
        <v>100.0</v>
      </c>
    </row>
    <row r="302">
      <c r="A302" s="3">
        <v>2015.0</v>
      </c>
      <c r="B302" s="3" t="s">
        <v>41</v>
      </c>
      <c r="C302" s="3">
        <v>77.0676691729323</v>
      </c>
    </row>
    <row r="303">
      <c r="A303" s="3">
        <v>2015.0</v>
      </c>
      <c r="B303" s="3" t="s">
        <v>13</v>
      </c>
      <c r="C303" s="3">
        <v>1.50375939849624</v>
      </c>
    </row>
    <row r="304">
      <c r="A304" s="3">
        <v>2015.0</v>
      </c>
      <c r="B304" s="3" t="s">
        <v>42</v>
      </c>
      <c r="C304" s="3">
        <v>2.63157894736842</v>
      </c>
    </row>
    <row r="305">
      <c r="A305" s="3">
        <v>2015.0</v>
      </c>
      <c r="B305" s="3" t="s">
        <v>12</v>
      </c>
      <c r="C305" s="3">
        <v>17.2932330827068</v>
      </c>
    </row>
    <row r="306">
      <c r="A306" s="3">
        <v>2015.0</v>
      </c>
      <c r="B306" s="3" t="s">
        <v>43</v>
      </c>
      <c r="C306" s="3">
        <v>0.0</v>
      </c>
    </row>
    <row r="307">
      <c r="A307" s="3">
        <v>2015.0</v>
      </c>
      <c r="B307" s="3" t="s">
        <v>44</v>
      </c>
      <c r="C307" s="3">
        <v>0.0</v>
      </c>
    </row>
    <row r="308">
      <c r="A308" s="3">
        <v>2015.0</v>
      </c>
      <c r="B308" s="3" t="s">
        <v>45</v>
      </c>
      <c r="C308" s="3">
        <v>0.0</v>
      </c>
    </row>
    <row r="309">
      <c r="A309" s="3">
        <v>2015.0</v>
      </c>
      <c r="B309" s="3" t="s">
        <v>16</v>
      </c>
      <c r="C309" s="3">
        <v>0.0</v>
      </c>
    </row>
    <row r="310">
      <c r="A310" s="3">
        <v>2015.0</v>
      </c>
      <c r="B310" s="3" t="s">
        <v>46</v>
      </c>
      <c r="C310" s="3">
        <v>1.50375939849624</v>
      </c>
    </row>
    <row r="311">
      <c r="A311" s="3">
        <v>2015.0</v>
      </c>
      <c r="B311" s="3" t="s">
        <v>4</v>
      </c>
      <c r="C311" s="3">
        <v>100.0</v>
      </c>
    </row>
    <row r="312">
      <c r="A312" s="3">
        <v>2016.0</v>
      </c>
      <c r="B312" s="3" t="s">
        <v>41</v>
      </c>
      <c r="C312" s="3">
        <v>73.0769230769231</v>
      </c>
    </row>
    <row r="313">
      <c r="A313" s="3">
        <v>2016.0</v>
      </c>
      <c r="B313" s="3" t="s">
        <v>13</v>
      </c>
      <c r="C313" s="3">
        <v>2.44755244755245</v>
      </c>
    </row>
    <row r="314">
      <c r="A314" s="3">
        <v>2016.0</v>
      </c>
      <c r="B314" s="3" t="s">
        <v>42</v>
      </c>
      <c r="C314" s="3">
        <v>1.3986013986014</v>
      </c>
    </row>
    <row r="315">
      <c r="A315" s="3">
        <v>2016.0</v>
      </c>
      <c r="B315" s="3" t="s">
        <v>12</v>
      </c>
      <c r="C315" s="3">
        <v>18.8811188811189</v>
      </c>
    </row>
    <row r="316">
      <c r="A316" s="3">
        <v>2016.0</v>
      </c>
      <c r="B316" s="3" t="s">
        <v>43</v>
      </c>
      <c r="C316" s="3">
        <v>0.0</v>
      </c>
    </row>
    <row r="317">
      <c r="A317" s="3">
        <v>2016.0</v>
      </c>
      <c r="B317" s="3" t="s">
        <v>44</v>
      </c>
      <c r="C317" s="3">
        <v>0.0</v>
      </c>
    </row>
    <row r="318">
      <c r="A318" s="3">
        <v>2016.0</v>
      </c>
      <c r="B318" s="3" t="s">
        <v>45</v>
      </c>
      <c r="C318" s="3">
        <v>0.699300699300699</v>
      </c>
    </row>
    <row r="319">
      <c r="A319" s="3">
        <v>2016.0</v>
      </c>
      <c r="B319" s="3" t="s">
        <v>16</v>
      </c>
      <c r="C319" s="3">
        <v>0.34965034965035</v>
      </c>
    </row>
    <row r="320">
      <c r="A320" s="3">
        <v>2016.0</v>
      </c>
      <c r="B320" s="3" t="s">
        <v>46</v>
      </c>
      <c r="C320" s="3">
        <v>3.14685314685315</v>
      </c>
    </row>
    <row r="321">
      <c r="A321" s="3">
        <v>2016.0</v>
      </c>
      <c r="B321" s="3" t="s">
        <v>4</v>
      </c>
      <c r="C321" s="3">
        <v>100.0</v>
      </c>
    </row>
    <row r="322">
      <c r="A322" s="3">
        <v>2017.0</v>
      </c>
      <c r="B322" s="3" t="s">
        <v>41</v>
      </c>
      <c r="C322" s="3">
        <v>70.4724409448819</v>
      </c>
    </row>
    <row r="323">
      <c r="A323" s="3">
        <v>2017.0</v>
      </c>
      <c r="B323" s="3" t="s">
        <v>13</v>
      </c>
      <c r="C323" s="3">
        <v>1.96850393700787</v>
      </c>
    </row>
    <row r="324">
      <c r="A324" s="3">
        <v>2017.0</v>
      </c>
      <c r="B324" s="3" t="s">
        <v>42</v>
      </c>
      <c r="C324" s="3">
        <v>1.18110236220472</v>
      </c>
    </row>
    <row r="325">
      <c r="A325" s="3">
        <v>2017.0</v>
      </c>
      <c r="B325" s="3" t="s">
        <v>12</v>
      </c>
      <c r="C325" s="3">
        <v>23.2283464566929</v>
      </c>
    </row>
    <row r="326">
      <c r="A326" s="3">
        <v>2017.0</v>
      </c>
      <c r="B326" s="3" t="s">
        <v>43</v>
      </c>
      <c r="C326" s="3">
        <v>0.0</v>
      </c>
    </row>
    <row r="327">
      <c r="A327" s="3">
        <v>2017.0</v>
      </c>
      <c r="B327" s="3" t="s">
        <v>44</v>
      </c>
      <c r="C327" s="3">
        <v>0.393700787401575</v>
      </c>
    </row>
    <row r="328">
      <c r="A328" s="3">
        <v>2017.0</v>
      </c>
      <c r="B328" s="3" t="s">
        <v>45</v>
      </c>
      <c r="C328" s="3">
        <v>0.0</v>
      </c>
    </row>
    <row r="329">
      <c r="A329" s="3">
        <v>2017.0</v>
      </c>
      <c r="B329" s="3" t="s">
        <v>16</v>
      </c>
      <c r="C329" s="3">
        <v>0.78740157480315</v>
      </c>
    </row>
    <row r="330">
      <c r="A330" s="3">
        <v>2017.0</v>
      </c>
      <c r="B330" s="3" t="s">
        <v>46</v>
      </c>
      <c r="C330" s="3">
        <v>1.96850393700787</v>
      </c>
    </row>
    <row r="331">
      <c r="A331" s="3">
        <v>2017.0</v>
      </c>
      <c r="B331" s="3" t="s">
        <v>4</v>
      </c>
      <c r="C331" s="3">
        <v>100.0</v>
      </c>
    </row>
    <row r="332">
      <c r="A332" s="3">
        <v>2018.0</v>
      </c>
      <c r="B332" s="3" t="s">
        <v>41</v>
      </c>
      <c r="C332" s="3">
        <v>64.4230769230769</v>
      </c>
    </row>
    <row r="333">
      <c r="A333" s="3">
        <v>2018.0</v>
      </c>
      <c r="B333" s="3" t="s">
        <v>13</v>
      </c>
      <c r="C333" s="3">
        <v>3.36538461538462</v>
      </c>
    </row>
    <row r="334">
      <c r="A334" s="3">
        <v>2018.0</v>
      </c>
      <c r="B334" s="3" t="s">
        <v>42</v>
      </c>
      <c r="C334" s="3">
        <v>1.92307692307692</v>
      </c>
    </row>
    <row r="335">
      <c r="A335" s="3">
        <v>2018.0</v>
      </c>
      <c r="B335" s="3" t="s">
        <v>12</v>
      </c>
      <c r="C335" s="3">
        <v>26.9230769230769</v>
      </c>
    </row>
    <row r="336">
      <c r="A336" s="3">
        <v>2018.0</v>
      </c>
      <c r="B336" s="3" t="s">
        <v>43</v>
      </c>
      <c r="C336" s="3">
        <v>0.0</v>
      </c>
    </row>
    <row r="337">
      <c r="A337" s="3">
        <v>2018.0</v>
      </c>
      <c r="B337" s="3" t="s">
        <v>44</v>
      </c>
      <c r="C337" s="3">
        <v>0.0</v>
      </c>
    </row>
    <row r="338">
      <c r="A338" s="3">
        <v>2018.0</v>
      </c>
      <c r="B338" s="3" t="s">
        <v>45</v>
      </c>
      <c r="C338" s="3">
        <v>0.0</v>
      </c>
    </row>
    <row r="339">
      <c r="A339" s="3">
        <v>2018.0</v>
      </c>
      <c r="B339" s="3" t="s">
        <v>16</v>
      </c>
      <c r="C339" s="3">
        <v>0.480769230769231</v>
      </c>
    </row>
    <row r="340">
      <c r="A340" s="3">
        <v>2018.0</v>
      </c>
      <c r="B340" s="3" t="s">
        <v>46</v>
      </c>
      <c r="C340" s="3">
        <v>2.88461538461538</v>
      </c>
    </row>
    <row r="341">
      <c r="A341" s="3">
        <v>2018.0</v>
      </c>
      <c r="B341" s="3" t="s">
        <v>4</v>
      </c>
      <c r="C341" s="3">
        <v>100.0</v>
      </c>
    </row>
    <row r="342">
      <c r="A342" s="3">
        <v>2019.0</v>
      </c>
      <c r="B342" s="3" t="s">
        <v>41</v>
      </c>
      <c r="C342" s="3">
        <v>67.1171171171171</v>
      </c>
    </row>
    <row r="343">
      <c r="A343" s="3">
        <v>2019.0</v>
      </c>
      <c r="B343" s="3" t="s">
        <v>13</v>
      </c>
      <c r="C343" s="3">
        <v>3.6036036036036</v>
      </c>
    </row>
    <row r="344">
      <c r="A344" s="3">
        <v>2019.0</v>
      </c>
      <c r="B344" s="3" t="s">
        <v>42</v>
      </c>
      <c r="C344" s="3">
        <v>0.900900900900901</v>
      </c>
    </row>
    <row r="345">
      <c r="A345" s="3">
        <v>2019.0</v>
      </c>
      <c r="B345" s="3" t="s">
        <v>12</v>
      </c>
      <c r="C345" s="3">
        <v>25.2252252252252</v>
      </c>
    </row>
    <row r="346">
      <c r="A346" s="3">
        <v>2019.0</v>
      </c>
      <c r="B346" s="3" t="s">
        <v>43</v>
      </c>
      <c r="C346" s="3">
        <v>0.0</v>
      </c>
    </row>
    <row r="347">
      <c r="A347" s="3">
        <v>2019.0</v>
      </c>
      <c r="B347" s="3" t="s">
        <v>44</v>
      </c>
      <c r="C347" s="3">
        <v>0.45045045045045</v>
      </c>
    </row>
    <row r="348">
      <c r="A348" s="3">
        <v>2019.0</v>
      </c>
      <c r="B348" s="3" t="s">
        <v>45</v>
      </c>
      <c r="C348" s="3">
        <v>0.0</v>
      </c>
    </row>
    <row r="349">
      <c r="A349" s="3">
        <v>2019.0</v>
      </c>
      <c r="B349" s="3" t="s">
        <v>16</v>
      </c>
      <c r="C349" s="3">
        <v>0.45045045045045</v>
      </c>
    </row>
    <row r="350">
      <c r="A350" s="3">
        <v>2019.0</v>
      </c>
      <c r="B350" s="3" t="s">
        <v>46</v>
      </c>
      <c r="C350" s="3">
        <v>2.25225225225225</v>
      </c>
    </row>
    <row r="351">
      <c r="A351" s="3">
        <v>2019.0</v>
      </c>
      <c r="B351" s="3" t="s">
        <v>4</v>
      </c>
      <c r="C351" s="3">
        <v>100.0</v>
      </c>
    </row>
    <row r="352">
      <c r="A352" s="3">
        <v>2020.0</v>
      </c>
      <c r="B352" s="3" t="s">
        <v>41</v>
      </c>
      <c r="C352" s="3">
        <v>57.3705179282869</v>
      </c>
    </row>
    <row r="353">
      <c r="A353" s="3">
        <v>2020.0</v>
      </c>
      <c r="B353" s="3" t="s">
        <v>13</v>
      </c>
      <c r="C353" s="3">
        <v>5.57768924302789</v>
      </c>
    </row>
    <row r="354">
      <c r="A354" s="3">
        <v>2020.0</v>
      </c>
      <c r="B354" s="3" t="s">
        <v>42</v>
      </c>
      <c r="C354" s="3">
        <v>0.398406374501992</v>
      </c>
    </row>
    <row r="355">
      <c r="A355" s="3">
        <v>2020.0</v>
      </c>
      <c r="B355" s="3" t="s">
        <v>12</v>
      </c>
      <c r="C355" s="3">
        <v>32.6693227091633</v>
      </c>
    </row>
    <row r="356">
      <c r="A356" s="3">
        <v>2020.0</v>
      </c>
      <c r="B356" s="3" t="s">
        <v>43</v>
      </c>
      <c r="C356" s="3">
        <v>0.0</v>
      </c>
    </row>
    <row r="357">
      <c r="A357" s="3">
        <v>2020.0</v>
      </c>
      <c r="B357" s="3" t="s">
        <v>44</v>
      </c>
      <c r="C357" s="3">
        <v>0.0</v>
      </c>
    </row>
    <row r="358">
      <c r="A358" s="3">
        <v>2020.0</v>
      </c>
      <c r="B358" s="3" t="s">
        <v>45</v>
      </c>
      <c r="C358" s="3">
        <v>0.0</v>
      </c>
    </row>
    <row r="359">
      <c r="A359" s="3">
        <v>2020.0</v>
      </c>
      <c r="B359" s="3" t="s">
        <v>16</v>
      </c>
      <c r="C359" s="3">
        <v>0.398406374501992</v>
      </c>
    </row>
    <row r="360">
      <c r="A360" s="3">
        <v>2020.0</v>
      </c>
      <c r="B360" s="3" t="s">
        <v>46</v>
      </c>
      <c r="C360" s="3">
        <v>3.58565737051793</v>
      </c>
    </row>
    <row r="361">
      <c r="A361" s="3">
        <v>2020.0</v>
      </c>
      <c r="B361" s="3" t="s">
        <v>4</v>
      </c>
      <c r="C361" s="3">
        <v>100.0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1.38"/>
  </cols>
  <sheetData>
    <row r="1">
      <c r="A1" s="2" t="s">
        <v>5</v>
      </c>
      <c r="B1" s="2" t="s">
        <v>6</v>
      </c>
      <c r="C1" s="2" t="s">
        <v>7</v>
      </c>
    </row>
    <row r="2">
      <c r="A2" s="3">
        <v>1985.0</v>
      </c>
      <c r="B2" s="3" t="s">
        <v>2</v>
      </c>
      <c r="C2" s="3">
        <v>3.0</v>
      </c>
    </row>
    <row r="3">
      <c r="A3" s="3">
        <v>1985.0</v>
      </c>
      <c r="B3" s="3" t="s">
        <v>3</v>
      </c>
      <c r="C3" s="3">
        <v>0.0</v>
      </c>
    </row>
    <row r="4">
      <c r="A4" s="3">
        <v>1985.0</v>
      </c>
      <c r="B4" s="3" t="s">
        <v>4</v>
      </c>
      <c r="C4" s="3">
        <v>3.0</v>
      </c>
    </row>
    <row r="5">
      <c r="A5" s="3">
        <v>1986.0</v>
      </c>
      <c r="B5" s="3" t="s">
        <v>2</v>
      </c>
      <c r="C5" s="3">
        <v>22.0</v>
      </c>
    </row>
    <row r="6">
      <c r="A6" s="3">
        <v>1986.0</v>
      </c>
      <c r="B6" s="3" t="s">
        <v>3</v>
      </c>
      <c r="C6" s="3">
        <v>1.0</v>
      </c>
    </row>
    <row r="7">
      <c r="A7" s="3">
        <v>1986.0</v>
      </c>
      <c r="B7" s="3" t="s">
        <v>4</v>
      </c>
      <c r="C7" s="3">
        <v>23.0</v>
      </c>
    </row>
    <row r="8">
      <c r="A8" s="3">
        <v>1987.0</v>
      </c>
      <c r="B8" s="3" t="s">
        <v>2</v>
      </c>
      <c r="C8" s="3">
        <v>23.0</v>
      </c>
    </row>
    <row r="9">
      <c r="A9" s="3">
        <v>1987.0</v>
      </c>
      <c r="B9" s="3" t="s">
        <v>3</v>
      </c>
      <c r="C9" s="3">
        <v>1.0</v>
      </c>
    </row>
    <row r="10">
      <c r="A10" s="3">
        <v>1987.0</v>
      </c>
      <c r="B10" s="3" t="s">
        <v>4</v>
      </c>
      <c r="C10" s="3">
        <v>24.0</v>
      </c>
    </row>
    <row r="11">
      <c r="A11" s="3">
        <v>1988.0</v>
      </c>
      <c r="B11" s="3" t="s">
        <v>2</v>
      </c>
      <c r="C11" s="3">
        <v>33.0</v>
      </c>
    </row>
    <row r="12">
      <c r="A12" s="3">
        <v>1988.0</v>
      </c>
      <c r="B12" s="3" t="s">
        <v>3</v>
      </c>
      <c r="C12" s="3">
        <v>2.0</v>
      </c>
    </row>
    <row r="13">
      <c r="A13" s="3">
        <v>1988.0</v>
      </c>
      <c r="B13" s="3" t="s">
        <v>4</v>
      </c>
      <c r="C13" s="3">
        <v>35.0</v>
      </c>
    </row>
    <row r="14">
      <c r="A14" s="3">
        <v>1989.0</v>
      </c>
      <c r="B14" s="3" t="s">
        <v>2</v>
      </c>
      <c r="C14" s="3">
        <v>6.0</v>
      </c>
    </row>
    <row r="15">
      <c r="A15" s="3">
        <v>1989.0</v>
      </c>
      <c r="B15" s="3" t="s">
        <v>3</v>
      </c>
      <c r="C15" s="3">
        <v>2.0</v>
      </c>
    </row>
    <row r="16">
      <c r="A16" s="3">
        <v>1989.0</v>
      </c>
      <c r="B16" s="3" t="s">
        <v>4</v>
      </c>
      <c r="C16" s="3">
        <v>8.0</v>
      </c>
    </row>
    <row r="17">
      <c r="A17" s="3">
        <v>1990.0</v>
      </c>
      <c r="B17" s="3" t="s">
        <v>2</v>
      </c>
      <c r="C17" s="3">
        <v>14.0</v>
      </c>
    </row>
    <row r="18">
      <c r="A18" s="3">
        <v>1990.0</v>
      </c>
      <c r="B18" s="3" t="s">
        <v>3</v>
      </c>
      <c r="C18" s="3">
        <v>1.0</v>
      </c>
    </row>
    <row r="19">
      <c r="A19" s="3">
        <v>1990.0</v>
      </c>
      <c r="B19" s="3" t="s">
        <v>4</v>
      </c>
      <c r="C19" s="3">
        <v>15.0</v>
      </c>
    </row>
    <row r="20">
      <c r="A20" s="3">
        <v>1991.0</v>
      </c>
      <c r="B20" s="3" t="s">
        <v>2</v>
      </c>
      <c r="C20" s="3">
        <v>12.0</v>
      </c>
    </row>
    <row r="21">
      <c r="A21" s="3">
        <v>1991.0</v>
      </c>
      <c r="B21" s="3" t="s">
        <v>3</v>
      </c>
      <c r="C21" s="3">
        <v>1.0</v>
      </c>
    </row>
    <row r="22">
      <c r="A22" s="3">
        <v>1991.0</v>
      </c>
      <c r="B22" s="3" t="s">
        <v>4</v>
      </c>
      <c r="C22" s="3">
        <v>13.0</v>
      </c>
    </row>
    <row r="23">
      <c r="A23" s="3">
        <v>1992.0</v>
      </c>
      <c r="B23" s="3" t="s">
        <v>2</v>
      </c>
      <c r="C23" s="3">
        <v>19.0</v>
      </c>
    </row>
    <row r="24">
      <c r="A24" s="3">
        <v>1992.0</v>
      </c>
      <c r="B24" s="3" t="s">
        <v>3</v>
      </c>
      <c r="C24" s="3">
        <v>4.0</v>
      </c>
    </row>
    <row r="25">
      <c r="A25" s="3">
        <v>1992.0</v>
      </c>
      <c r="B25" s="3" t="s">
        <v>4</v>
      </c>
      <c r="C25" s="3">
        <v>23.0</v>
      </c>
    </row>
    <row r="26">
      <c r="A26" s="3">
        <v>1993.0</v>
      </c>
      <c r="B26" s="3" t="s">
        <v>2</v>
      </c>
      <c r="C26" s="3">
        <v>18.0</v>
      </c>
    </row>
    <row r="27">
      <c r="A27" s="3">
        <v>1993.0</v>
      </c>
      <c r="B27" s="3" t="s">
        <v>3</v>
      </c>
      <c r="C27" s="3">
        <v>9.0</v>
      </c>
    </row>
    <row r="28">
      <c r="A28" s="3">
        <v>1993.0</v>
      </c>
      <c r="B28" s="3" t="s">
        <v>4</v>
      </c>
      <c r="C28" s="3">
        <v>27.0</v>
      </c>
    </row>
    <row r="29">
      <c r="A29" s="3">
        <v>1994.0</v>
      </c>
      <c r="B29" s="3" t="s">
        <v>2</v>
      </c>
      <c r="C29" s="3">
        <v>30.0</v>
      </c>
    </row>
    <row r="30">
      <c r="A30" s="3">
        <v>1994.0</v>
      </c>
      <c r="B30" s="3" t="s">
        <v>3</v>
      </c>
      <c r="C30" s="3">
        <v>8.0</v>
      </c>
    </row>
    <row r="31">
      <c r="A31" s="3">
        <v>1994.0</v>
      </c>
      <c r="B31" s="3" t="s">
        <v>4</v>
      </c>
      <c r="C31" s="3">
        <v>38.0</v>
      </c>
    </row>
    <row r="32">
      <c r="A32" s="3">
        <v>1995.0</v>
      </c>
      <c r="B32" s="3" t="s">
        <v>2</v>
      </c>
      <c r="C32" s="3">
        <v>26.0</v>
      </c>
    </row>
    <row r="33">
      <c r="A33" s="3">
        <v>1995.0</v>
      </c>
      <c r="B33" s="3" t="s">
        <v>3</v>
      </c>
      <c r="C33" s="3">
        <v>14.0</v>
      </c>
    </row>
    <row r="34">
      <c r="A34" s="3">
        <v>1995.0</v>
      </c>
      <c r="B34" s="3" t="s">
        <v>4</v>
      </c>
      <c r="C34" s="3">
        <v>40.0</v>
      </c>
    </row>
    <row r="35">
      <c r="A35" s="3">
        <v>1996.0</v>
      </c>
      <c r="B35" s="3" t="s">
        <v>2</v>
      </c>
      <c r="C35" s="3">
        <v>41.0</v>
      </c>
    </row>
    <row r="36">
      <c r="A36" s="3">
        <v>1996.0</v>
      </c>
      <c r="B36" s="3" t="s">
        <v>3</v>
      </c>
      <c r="C36" s="3">
        <v>10.0</v>
      </c>
    </row>
    <row r="37">
      <c r="A37" s="3">
        <v>1996.0</v>
      </c>
      <c r="B37" s="3" t="s">
        <v>4</v>
      </c>
      <c r="C37" s="3">
        <v>51.0</v>
      </c>
    </row>
    <row r="38">
      <c r="A38" s="3">
        <v>1997.0</v>
      </c>
      <c r="B38" s="3" t="s">
        <v>2</v>
      </c>
      <c r="C38" s="3">
        <v>48.0</v>
      </c>
    </row>
    <row r="39">
      <c r="A39" s="3">
        <v>1997.0</v>
      </c>
      <c r="B39" s="3" t="s">
        <v>3</v>
      </c>
      <c r="C39" s="3">
        <v>14.0</v>
      </c>
    </row>
    <row r="40">
      <c r="A40" s="3">
        <v>1997.0</v>
      </c>
      <c r="B40" s="3" t="s">
        <v>4</v>
      </c>
      <c r="C40" s="3">
        <v>62.0</v>
      </c>
    </row>
    <row r="41">
      <c r="A41" s="3">
        <v>1998.0</v>
      </c>
      <c r="B41" s="3" t="s">
        <v>2</v>
      </c>
      <c r="C41" s="3">
        <v>23.0</v>
      </c>
    </row>
    <row r="42">
      <c r="A42" s="3">
        <v>1998.0</v>
      </c>
      <c r="B42" s="3" t="s">
        <v>3</v>
      </c>
      <c r="C42" s="3">
        <v>7.0</v>
      </c>
    </row>
    <row r="43">
      <c r="A43" s="3">
        <v>1998.0</v>
      </c>
      <c r="B43" s="3" t="s">
        <v>4</v>
      </c>
      <c r="C43" s="3">
        <v>30.0</v>
      </c>
    </row>
    <row r="44">
      <c r="A44" s="3">
        <v>1999.0</v>
      </c>
      <c r="B44" s="3" t="s">
        <v>2</v>
      </c>
      <c r="C44" s="3">
        <v>34.0</v>
      </c>
    </row>
    <row r="45">
      <c r="A45" s="3">
        <v>1999.0</v>
      </c>
      <c r="B45" s="3" t="s">
        <v>3</v>
      </c>
      <c r="C45" s="3">
        <v>16.0</v>
      </c>
    </row>
    <row r="46">
      <c r="A46" s="3">
        <v>1999.0</v>
      </c>
      <c r="B46" s="3" t="s">
        <v>4</v>
      </c>
      <c r="C46" s="3">
        <v>50.0</v>
      </c>
    </row>
    <row r="47">
      <c r="A47" s="3">
        <v>2000.0</v>
      </c>
      <c r="B47" s="3" t="s">
        <v>2</v>
      </c>
      <c r="C47" s="3">
        <v>44.0</v>
      </c>
    </row>
    <row r="48">
      <c r="A48" s="3">
        <v>2000.0</v>
      </c>
      <c r="B48" s="3" t="s">
        <v>3</v>
      </c>
      <c r="C48" s="3">
        <v>14.0</v>
      </c>
    </row>
    <row r="49">
      <c r="A49" s="3">
        <v>2000.0</v>
      </c>
      <c r="B49" s="3" t="s">
        <v>4</v>
      </c>
      <c r="C49" s="3">
        <v>58.0</v>
      </c>
    </row>
    <row r="50">
      <c r="A50" s="3">
        <v>2001.0</v>
      </c>
      <c r="B50" s="3" t="s">
        <v>2</v>
      </c>
      <c r="C50" s="3">
        <v>42.0</v>
      </c>
    </row>
    <row r="51">
      <c r="A51" s="3">
        <v>2001.0</v>
      </c>
      <c r="B51" s="3" t="s">
        <v>3</v>
      </c>
      <c r="C51" s="3">
        <v>9.0</v>
      </c>
    </row>
    <row r="52">
      <c r="A52" s="3">
        <v>2001.0</v>
      </c>
      <c r="B52" s="3" t="s">
        <v>4</v>
      </c>
      <c r="C52" s="3">
        <v>51.0</v>
      </c>
    </row>
    <row r="53">
      <c r="A53" s="3">
        <v>2002.0</v>
      </c>
      <c r="B53" s="3" t="s">
        <v>2</v>
      </c>
      <c r="C53" s="3">
        <v>39.0</v>
      </c>
    </row>
    <row r="54">
      <c r="A54" s="3">
        <v>2002.0</v>
      </c>
      <c r="B54" s="3" t="s">
        <v>3</v>
      </c>
      <c r="C54" s="3">
        <v>11.0</v>
      </c>
    </row>
    <row r="55">
      <c r="A55" s="3">
        <v>2002.0</v>
      </c>
      <c r="B55" s="3" t="s">
        <v>4</v>
      </c>
      <c r="C55" s="3">
        <v>50.0</v>
      </c>
    </row>
    <row r="56">
      <c r="A56" s="3">
        <v>2003.0</v>
      </c>
      <c r="B56" s="3" t="s">
        <v>2</v>
      </c>
      <c r="C56" s="3">
        <v>49.0</v>
      </c>
    </row>
    <row r="57">
      <c r="A57" s="3">
        <v>2003.0</v>
      </c>
      <c r="B57" s="3" t="s">
        <v>3</v>
      </c>
      <c r="C57" s="3">
        <v>14.0</v>
      </c>
    </row>
    <row r="58">
      <c r="A58" s="3">
        <v>2003.0</v>
      </c>
      <c r="B58" s="3" t="s">
        <v>4</v>
      </c>
      <c r="C58" s="3">
        <v>63.0</v>
      </c>
    </row>
    <row r="59">
      <c r="A59" s="3">
        <v>2004.0</v>
      </c>
      <c r="B59" s="3" t="s">
        <v>2</v>
      </c>
      <c r="C59" s="3">
        <v>55.0</v>
      </c>
    </row>
    <row r="60">
      <c r="A60" s="3">
        <v>2004.0</v>
      </c>
      <c r="B60" s="3" t="s">
        <v>3</v>
      </c>
      <c r="C60" s="3">
        <v>17.0</v>
      </c>
    </row>
    <row r="61">
      <c r="A61" s="3">
        <v>2004.0</v>
      </c>
      <c r="B61" s="3" t="s">
        <v>4</v>
      </c>
      <c r="C61" s="3">
        <v>72.0</v>
      </c>
    </row>
    <row r="62">
      <c r="A62" s="3">
        <v>2005.0</v>
      </c>
      <c r="B62" s="3" t="s">
        <v>2</v>
      </c>
      <c r="C62" s="3">
        <v>70.0</v>
      </c>
    </row>
    <row r="63">
      <c r="A63" s="3">
        <v>2005.0</v>
      </c>
      <c r="B63" s="3" t="s">
        <v>3</v>
      </c>
      <c r="C63" s="3">
        <v>20.0</v>
      </c>
    </row>
    <row r="64">
      <c r="A64" s="3">
        <v>2005.0</v>
      </c>
      <c r="B64" s="3" t="s">
        <v>4</v>
      </c>
      <c r="C64" s="3">
        <v>90.0</v>
      </c>
    </row>
    <row r="65">
      <c r="A65" s="3">
        <v>2006.0</v>
      </c>
      <c r="B65" s="3" t="s">
        <v>2</v>
      </c>
      <c r="C65" s="3">
        <v>71.0</v>
      </c>
    </row>
    <row r="66">
      <c r="A66" s="3">
        <v>2006.0</v>
      </c>
      <c r="B66" s="3" t="s">
        <v>3</v>
      </c>
      <c r="C66" s="3">
        <v>20.0</v>
      </c>
    </row>
    <row r="67">
      <c r="A67" s="3">
        <v>2006.0</v>
      </c>
      <c r="B67" s="3" t="s">
        <v>4</v>
      </c>
      <c r="C67" s="3">
        <v>91.0</v>
      </c>
    </row>
    <row r="68">
      <c r="A68" s="3">
        <v>2007.0</v>
      </c>
      <c r="B68" s="3" t="s">
        <v>2</v>
      </c>
      <c r="C68" s="3">
        <v>97.0</v>
      </c>
    </row>
    <row r="69">
      <c r="A69" s="3">
        <v>2007.0</v>
      </c>
      <c r="B69" s="3" t="s">
        <v>3</v>
      </c>
      <c r="C69" s="3">
        <v>24.0</v>
      </c>
    </row>
    <row r="70">
      <c r="A70" s="3">
        <v>2007.0</v>
      </c>
      <c r="B70" s="3" t="s">
        <v>4</v>
      </c>
      <c r="C70" s="3">
        <v>121.0</v>
      </c>
    </row>
    <row r="71">
      <c r="A71" s="3">
        <v>2008.0</v>
      </c>
      <c r="B71" s="3" t="s">
        <v>2</v>
      </c>
      <c r="C71" s="3">
        <v>121.0</v>
      </c>
    </row>
    <row r="72">
      <c r="A72" s="3">
        <v>2008.0</v>
      </c>
      <c r="B72" s="3" t="s">
        <v>3</v>
      </c>
      <c r="C72" s="3">
        <v>27.0</v>
      </c>
    </row>
    <row r="73">
      <c r="A73" s="3">
        <v>2008.0</v>
      </c>
      <c r="B73" s="3" t="s">
        <v>4</v>
      </c>
      <c r="C73" s="3">
        <v>148.0</v>
      </c>
    </row>
    <row r="74">
      <c r="A74" s="3">
        <v>2009.0</v>
      </c>
      <c r="B74" s="3" t="s">
        <v>2</v>
      </c>
      <c r="C74" s="3">
        <v>130.0</v>
      </c>
    </row>
    <row r="75">
      <c r="A75" s="3">
        <v>2009.0</v>
      </c>
      <c r="B75" s="3" t="s">
        <v>3</v>
      </c>
      <c r="C75" s="3">
        <v>26.0</v>
      </c>
    </row>
    <row r="76">
      <c r="A76" s="3">
        <v>2009.0</v>
      </c>
      <c r="B76" s="3" t="s">
        <v>4</v>
      </c>
      <c r="C76" s="3">
        <v>156.0</v>
      </c>
    </row>
    <row r="77">
      <c r="A77" s="3">
        <v>2010.0</v>
      </c>
      <c r="B77" s="3" t="s">
        <v>2</v>
      </c>
      <c r="C77" s="3">
        <v>159.0</v>
      </c>
    </row>
    <row r="78">
      <c r="A78" s="3">
        <v>2010.0</v>
      </c>
      <c r="B78" s="3" t="s">
        <v>3</v>
      </c>
      <c r="C78" s="3">
        <v>21.0</v>
      </c>
    </row>
    <row r="79">
      <c r="A79" s="3">
        <v>2010.0</v>
      </c>
      <c r="B79" s="3" t="s">
        <v>4</v>
      </c>
      <c r="C79" s="3">
        <v>180.0</v>
      </c>
    </row>
    <row r="80">
      <c r="A80" s="3">
        <v>2011.0</v>
      </c>
      <c r="B80" s="3" t="s">
        <v>2</v>
      </c>
      <c r="C80" s="3">
        <v>139.0</v>
      </c>
    </row>
    <row r="81">
      <c r="A81" s="3">
        <v>2011.0</v>
      </c>
      <c r="B81" s="3" t="s">
        <v>3</v>
      </c>
      <c r="C81" s="3">
        <v>14.0</v>
      </c>
    </row>
    <row r="82">
      <c r="A82" s="3">
        <v>2011.0</v>
      </c>
      <c r="B82" s="3" t="s">
        <v>4</v>
      </c>
      <c r="C82" s="3">
        <v>153.0</v>
      </c>
    </row>
    <row r="83">
      <c r="A83" s="3">
        <v>2012.0</v>
      </c>
      <c r="B83" s="3" t="s">
        <v>2</v>
      </c>
      <c r="C83" s="3">
        <v>185.0</v>
      </c>
    </row>
    <row r="84">
      <c r="A84" s="3">
        <v>2012.0</v>
      </c>
      <c r="B84" s="3" t="s">
        <v>3</v>
      </c>
      <c r="C84" s="3">
        <v>27.0</v>
      </c>
    </row>
    <row r="85">
      <c r="A85" s="3">
        <v>2012.0</v>
      </c>
      <c r="B85" s="3" t="s">
        <v>4</v>
      </c>
      <c r="C85" s="3">
        <v>212.0</v>
      </c>
    </row>
    <row r="86">
      <c r="A86" s="3">
        <v>2013.0</v>
      </c>
      <c r="B86" s="3" t="s">
        <v>2</v>
      </c>
      <c r="C86" s="3">
        <v>211.0</v>
      </c>
    </row>
    <row r="87">
      <c r="A87" s="3">
        <v>2013.0</v>
      </c>
      <c r="B87" s="3" t="s">
        <v>3</v>
      </c>
      <c r="C87" s="3">
        <v>24.0</v>
      </c>
    </row>
    <row r="88">
      <c r="A88" s="3">
        <v>2013.0</v>
      </c>
      <c r="B88" s="3" t="s">
        <v>4</v>
      </c>
      <c r="C88" s="3">
        <v>235.0</v>
      </c>
    </row>
    <row r="89">
      <c r="A89" s="3">
        <v>2014.0</v>
      </c>
      <c r="B89" s="3" t="s">
        <v>2</v>
      </c>
      <c r="C89" s="3">
        <v>209.0</v>
      </c>
    </row>
    <row r="90">
      <c r="A90" s="3">
        <v>2014.0</v>
      </c>
      <c r="B90" s="3" t="s">
        <v>3</v>
      </c>
      <c r="C90" s="3">
        <v>23.0</v>
      </c>
    </row>
    <row r="91">
      <c r="A91" s="3">
        <v>2014.0</v>
      </c>
      <c r="B91" s="3" t="s">
        <v>4</v>
      </c>
      <c r="C91" s="3">
        <v>232.0</v>
      </c>
    </row>
    <row r="92">
      <c r="A92" s="3">
        <v>2015.0</v>
      </c>
      <c r="B92" s="3" t="s">
        <v>2</v>
      </c>
      <c r="C92" s="3">
        <v>248.0</v>
      </c>
    </row>
    <row r="93">
      <c r="A93" s="3">
        <v>2015.0</v>
      </c>
      <c r="B93" s="3" t="s">
        <v>3</v>
      </c>
      <c r="C93" s="3">
        <v>18.0</v>
      </c>
    </row>
    <row r="94">
      <c r="A94" s="3">
        <v>2015.0</v>
      </c>
      <c r="B94" s="3" t="s">
        <v>4</v>
      </c>
      <c r="C94" s="3">
        <v>266.0</v>
      </c>
    </row>
    <row r="95">
      <c r="A95" s="3">
        <v>2016.0</v>
      </c>
      <c r="B95" s="3" t="s">
        <v>2</v>
      </c>
      <c r="C95" s="3">
        <v>262.0</v>
      </c>
    </row>
    <row r="96">
      <c r="A96" s="3">
        <v>2016.0</v>
      </c>
      <c r="B96" s="3" t="s">
        <v>3</v>
      </c>
      <c r="C96" s="3">
        <v>24.0</v>
      </c>
    </row>
    <row r="97">
      <c r="A97" s="3">
        <v>2016.0</v>
      </c>
      <c r="B97" s="3" t="s">
        <v>4</v>
      </c>
      <c r="C97" s="3">
        <v>286.0</v>
      </c>
    </row>
    <row r="98">
      <c r="A98" s="3">
        <v>2017.0</v>
      </c>
      <c r="B98" s="3" t="s">
        <v>2</v>
      </c>
      <c r="C98" s="3">
        <v>230.0</v>
      </c>
    </row>
    <row r="99">
      <c r="A99" s="3">
        <v>2017.0</v>
      </c>
      <c r="B99" s="3" t="s">
        <v>3</v>
      </c>
      <c r="C99" s="3">
        <v>24.0</v>
      </c>
    </row>
    <row r="100">
      <c r="A100" s="3">
        <v>2017.0</v>
      </c>
      <c r="B100" s="3" t="s">
        <v>4</v>
      </c>
      <c r="C100" s="3">
        <v>254.0</v>
      </c>
    </row>
    <row r="101">
      <c r="A101" s="3">
        <v>2018.0</v>
      </c>
      <c r="B101" s="3" t="s">
        <v>2</v>
      </c>
      <c r="C101" s="3">
        <v>186.0</v>
      </c>
    </row>
    <row r="102">
      <c r="A102" s="3">
        <v>2018.0</v>
      </c>
      <c r="B102" s="3" t="s">
        <v>3</v>
      </c>
      <c r="C102" s="3">
        <v>22.0</v>
      </c>
    </row>
    <row r="103">
      <c r="A103" s="3">
        <v>2018.0</v>
      </c>
      <c r="B103" s="3" t="s">
        <v>4</v>
      </c>
      <c r="C103" s="3">
        <v>208.0</v>
      </c>
    </row>
    <row r="104">
      <c r="A104" s="3">
        <v>2019.0</v>
      </c>
      <c r="B104" s="3" t="s">
        <v>2</v>
      </c>
      <c r="C104" s="3">
        <v>192.0</v>
      </c>
    </row>
    <row r="105">
      <c r="A105" s="3">
        <v>2019.0</v>
      </c>
      <c r="B105" s="3" t="s">
        <v>3</v>
      </c>
      <c r="C105" s="3">
        <v>30.0</v>
      </c>
    </row>
    <row r="106">
      <c r="A106" s="3">
        <v>2019.0</v>
      </c>
      <c r="B106" s="3" t="s">
        <v>4</v>
      </c>
      <c r="C106" s="3">
        <v>222.0</v>
      </c>
    </row>
    <row r="107">
      <c r="A107" s="3">
        <v>2020.0</v>
      </c>
      <c r="B107" s="3" t="s">
        <v>2</v>
      </c>
      <c r="C107" s="3">
        <v>203.0</v>
      </c>
    </row>
    <row r="108">
      <c r="A108" s="3">
        <v>2020.0</v>
      </c>
      <c r="B108" s="3" t="s">
        <v>3</v>
      </c>
      <c r="C108" s="3">
        <v>48.0</v>
      </c>
    </row>
    <row r="109">
      <c r="A109" s="3">
        <v>2020.0</v>
      </c>
      <c r="B109" s="3" t="s">
        <v>4</v>
      </c>
      <c r="C109" s="3">
        <v>251.0</v>
      </c>
    </row>
    <row r="110">
      <c r="A110" s="3">
        <v>2021.0</v>
      </c>
      <c r="B110" s="3" t="s">
        <v>2</v>
      </c>
      <c r="C110" s="3">
        <v>201.0</v>
      </c>
    </row>
    <row r="111">
      <c r="A111" s="3">
        <v>2021.0</v>
      </c>
      <c r="B111" s="3" t="s">
        <v>3</v>
      </c>
      <c r="C111" s="3">
        <v>32.0</v>
      </c>
    </row>
    <row r="112">
      <c r="A112" s="3">
        <v>2021.0</v>
      </c>
      <c r="B112" s="3" t="s">
        <v>4</v>
      </c>
      <c r="C112" s="3">
        <v>233.0</v>
      </c>
    </row>
    <row r="113">
      <c r="A113" s="3">
        <v>2022.0</v>
      </c>
      <c r="B113" s="3" t="s">
        <v>2</v>
      </c>
      <c r="C113" s="3">
        <v>237.0</v>
      </c>
    </row>
    <row r="114">
      <c r="A114" s="3">
        <v>2022.0</v>
      </c>
      <c r="B114" s="3" t="s">
        <v>3</v>
      </c>
      <c r="C114" s="3">
        <v>55.0</v>
      </c>
    </row>
    <row r="115">
      <c r="A115" s="3">
        <v>2022.0</v>
      </c>
      <c r="B115" s="3" t="s">
        <v>4</v>
      </c>
      <c r="C115" s="3">
        <v>292.0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63"/>
  </cols>
  <sheetData>
    <row r="1">
      <c r="A1" s="1" t="s">
        <v>1</v>
      </c>
      <c r="B1" s="1" t="s">
        <v>8</v>
      </c>
    </row>
    <row r="2">
      <c r="A2" s="1">
        <v>1988.0</v>
      </c>
      <c r="B2" s="1">
        <v>451349.0</v>
      </c>
    </row>
    <row r="3">
      <c r="A3" s="1">
        <v>1989.0</v>
      </c>
      <c r="B3" s="1">
        <v>467087.0</v>
      </c>
    </row>
    <row r="4">
      <c r="A4" s="1">
        <v>1990.0</v>
      </c>
      <c r="B4" s="1">
        <v>548701.0</v>
      </c>
    </row>
    <row r="5">
      <c r="A5" s="1">
        <v>1991.0</v>
      </c>
      <c r="B5" s="1">
        <v>638671.0</v>
      </c>
    </row>
    <row r="6">
      <c r="A6" s="1">
        <v>1992.0</v>
      </c>
      <c r="B6" s="1">
        <v>551053.0</v>
      </c>
    </row>
    <row r="7">
      <c r="A7" s="1">
        <v>1993.0</v>
      </c>
      <c r="B7" s="1">
        <v>507235.0</v>
      </c>
    </row>
    <row r="8">
      <c r="A8" s="1">
        <v>1994.0</v>
      </c>
      <c r="B8" s="1">
        <v>683482.0</v>
      </c>
    </row>
    <row r="9">
      <c r="A9" s="1">
        <v>1995.0</v>
      </c>
      <c r="B9" s="1">
        <v>792245.0</v>
      </c>
    </row>
    <row r="10">
      <c r="A10" s="1">
        <v>1996.0</v>
      </c>
      <c r="B10" s="1">
        <v>834656.0</v>
      </c>
    </row>
    <row r="11">
      <c r="A11" s="1">
        <v>1997.0</v>
      </c>
      <c r="B11" s="1">
        <v>826921.0</v>
      </c>
    </row>
    <row r="12">
      <c r="A12" s="1">
        <v>1998.0</v>
      </c>
      <c r="B12" s="1">
        <v>766742.0</v>
      </c>
    </row>
    <row r="13">
      <c r="A13" s="1">
        <v>1999.0</v>
      </c>
      <c r="B13" s="1">
        <v>740473.0</v>
      </c>
    </row>
    <row r="14">
      <c r="A14" s="1">
        <v>2000.0</v>
      </c>
      <c r="B14" s="1">
        <v>731319.0</v>
      </c>
    </row>
    <row r="15">
      <c r="A15" s="1">
        <v>2001.0</v>
      </c>
      <c r="B15" s="1">
        <v>756681.0</v>
      </c>
    </row>
    <row r="16">
      <c r="A16" s="1">
        <v>2002.0</v>
      </c>
      <c r="B16" s="1">
        <v>819869.0</v>
      </c>
    </row>
    <row r="17">
      <c r="A17" s="1">
        <v>2003.0</v>
      </c>
      <c r="B17" s="1">
        <v>816436.0</v>
      </c>
    </row>
    <row r="18">
      <c r="A18" s="1">
        <v>2004.0</v>
      </c>
      <c r="B18" s="1">
        <v>836601.0</v>
      </c>
    </row>
    <row r="19">
      <c r="A19" s="1">
        <v>2005.0</v>
      </c>
      <c r="B19" s="1">
        <v>854970.0</v>
      </c>
    </row>
    <row r="20">
      <c r="A20" s="1">
        <v>2006.0</v>
      </c>
      <c r="B20" s="1">
        <v>819812.0</v>
      </c>
    </row>
    <row r="21">
      <c r="A21" s="1">
        <v>2007.0</v>
      </c>
      <c r="B21" s="1">
        <v>861519.0</v>
      </c>
    </row>
    <row r="22">
      <c r="A22" s="1">
        <v>2008.0</v>
      </c>
      <c r="B22" s="1">
        <v>1043652.0</v>
      </c>
    </row>
    <row r="23">
      <c r="A23" s="1">
        <v>2009.0</v>
      </c>
      <c r="B23" s="1">
        <v>1300127.0</v>
      </c>
    </row>
    <row r="24">
      <c r="A24" s="1">
        <v>2010.0</v>
      </c>
      <c r="B24" s="1">
        <v>1442573.0</v>
      </c>
    </row>
    <row r="25">
      <c r="A25" s="1">
        <v>2011.0</v>
      </c>
      <c r="B25" s="1">
        <v>1327315.0</v>
      </c>
    </row>
    <row r="26">
      <c r="A26" s="1">
        <v>2012.0</v>
      </c>
      <c r="B26" s="1">
        <v>1269383.0</v>
      </c>
    </row>
    <row r="27">
      <c r="A27" s="1">
        <v>2013.0</v>
      </c>
      <c r="B27" s="1">
        <v>1286883.0</v>
      </c>
    </row>
    <row r="28">
      <c r="A28" s="1">
        <v>2014.0</v>
      </c>
      <c r="B28" s="1">
        <v>1309585.0</v>
      </c>
    </row>
    <row r="29">
      <c r="A29" s="1">
        <v>2015.0</v>
      </c>
      <c r="B29" s="1">
        <v>1293036.0</v>
      </c>
    </row>
    <row r="30">
      <c r="A30" s="1">
        <v>2016.0</v>
      </c>
      <c r="B30" s="1">
        <v>1333892.0</v>
      </c>
    </row>
    <row r="31">
      <c r="A31" s="1">
        <v>2017.0</v>
      </c>
      <c r="B31" s="1">
        <v>1360042.0</v>
      </c>
    </row>
    <row r="32">
      <c r="A32" s="1">
        <v>2018.0</v>
      </c>
      <c r="B32" s="1">
        <v>1372173.0</v>
      </c>
    </row>
    <row r="33">
      <c r="A33" s="1">
        <v>2019.0</v>
      </c>
      <c r="B33" s="1">
        <v>1417330.0</v>
      </c>
    </row>
    <row r="34">
      <c r="A34" s="1">
        <v>2020.0</v>
      </c>
      <c r="B34" s="1">
        <v>1448366.0</v>
      </c>
    </row>
    <row r="35">
      <c r="A35" s="1">
        <v>2021.0</v>
      </c>
      <c r="B35" s="1">
        <v>1582715.0</v>
      </c>
    </row>
    <row r="36">
      <c r="A36" s="1">
        <v>2022.0</v>
      </c>
      <c r="B36" s="1">
        <v>1780839.0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0"/>
    <col customWidth="1" min="2" max="2" width="33.5"/>
  </cols>
  <sheetData>
    <row r="1">
      <c r="A1" s="2" t="s">
        <v>9</v>
      </c>
      <c r="B1" s="2" t="s">
        <v>10</v>
      </c>
    </row>
    <row r="2">
      <c r="A2" s="1" t="s">
        <v>11</v>
      </c>
      <c r="B2" s="4">
        <v>0.527</v>
      </c>
    </row>
    <row r="3">
      <c r="A3" s="1" t="s">
        <v>12</v>
      </c>
      <c r="B3" s="4">
        <v>0.325</v>
      </c>
    </row>
    <row r="4">
      <c r="A4" s="1" t="s">
        <v>13</v>
      </c>
      <c r="B4" s="4">
        <v>0.027</v>
      </c>
    </row>
    <row r="5">
      <c r="A5" s="1" t="s">
        <v>14</v>
      </c>
      <c r="B5" s="4">
        <v>0.014</v>
      </c>
    </row>
    <row r="6">
      <c r="A6" s="1" t="s">
        <v>15</v>
      </c>
      <c r="B6" s="4">
        <v>0.003</v>
      </c>
    </row>
    <row r="7">
      <c r="A7" s="1" t="s">
        <v>16</v>
      </c>
      <c r="B7" s="4">
        <v>0.003</v>
      </c>
    </row>
    <row r="8">
      <c r="A8" s="1" t="s">
        <v>17</v>
      </c>
      <c r="B8" s="4">
        <v>0.099</v>
      </c>
    </row>
    <row r="11">
      <c r="A11" s="2"/>
      <c r="B11" s="2"/>
      <c r="C11" s="2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18</v>
      </c>
      <c r="B1" s="1" t="s">
        <v>2</v>
      </c>
      <c r="C1" s="1" t="s">
        <v>19</v>
      </c>
    </row>
    <row r="2">
      <c r="A2" s="1" t="s">
        <v>20</v>
      </c>
      <c r="B2" s="1">
        <v>2.0</v>
      </c>
      <c r="C2" s="1">
        <v>1.0</v>
      </c>
    </row>
    <row r="3">
      <c r="A3" s="1" t="s">
        <v>21</v>
      </c>
      <c r="B3" s="1">
        <v>14.0</v>
      </c>
      <c r="C3" s="1">
        <v>3.0</v>
      </c>
    </row>
    <row r="4">
      <c r="A4" s="1" t="s">
        <v>22</v>
      </c>
      <c r="B4" s="1">
        <v>41.0</v>
      </c>
      <c r="C4" s="1">
        <v>4.0</v>
      </c>
    </row>
    <row r="5">
      <c r="A5" s="1" t="s">
        <v>23</v>
      </c>
      <c r="B5" s="1">
        <v>52.0</v>
      </c>
      <c r="C5" s="1">
        <v>10.0</v>
      </c>
    </row>
    <row r="6">
      <c r="A6" s="1" t="s">
        <v>24</v>
      </c>
      <c r="B6" s="1">
        <v>38.0</v>
      </c>
      <c r="C6" s="1">
        <v>9.0</v>
      </c>
    </row>
    <row r="7">
      <c r="A7" s="1" t="s">
        <v>25</v>
      </c>
      <c r="B7" s="1">
        <v>30.0</v>
      </c>
      <c r="C7" s="1">
        <v>9.0</v>
      </c>
    </row>
    <row r="8">
      <c r="A8" s="1" t="s">
        <v>26</v>
      </c>
      <c r="B8" s="1">
        <v>32.0</v>
      </c>
      <c r="C8" s="1">
        <v>8.0</v>
      </c>
    </row>
    <row r="9">
      <c r="A9" s="1" t="s">
        <v>27</v>
      </c>
      <c r="B9" s="1">
        <v>14.0</v>
      </c>
      <c r="C9" s="1">
        <v>7.0</v>
      </c>
    </row>
    <row r="10">
      <c r="A10" s="1" t="s">
        <v>28</v>
      </c>
      <c r="B10" s="1">
        <v>6.0</v>
      </c>
      <c r="C10" s="1">
        <v>3.0</v>
      </c>
    </row>
    <row r="11">
      <c r="A11" s="1" t="s">
        <v>29</v>
      </c>
      <c r="B11" s="1">
        <v>8.0</v>
      </c>
      <c r="C11" s="1">
        <v>1.0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18</v>
      </c>
      <c r="B1" s="1" t="s">
        <v>30</v>
      </c>
      <c r="C1" s="1" t="s">
        <v>31</v>
      </c>
    </row>
    <row r="2">
      <c r="A2" s="3" t="s">
        <v>32</v>
      </c>
      <c r="B2" s="3" t="s">
        <v>2</v>
      </c>
      <c r="C2" s="3">
        <v>2.0</v>
      </c>
    </row>
    <row r="3">
      <c r="A3" s="3" t="s">
        <v>32</v>
      </c>
      <c r="B3" s="3" t="s">
        <v>19</v>
      </c>
      <c r="C3" s="3">
        <v>1.0</v>
      </c>
    </row>
    <row r="4">
      <c r="A4" s="3" t="s">
        <v>33</v>
      </c>
      <c r="B4" s="3" t="s">
        <v>2</v>
      </c>
      <c r="C4" s="3">
        <v>14.0</v>
      </c>
    </row>
    <row r="5">
      <c r="A5" s="3" t="s">
        <v>33</v>
      </c>
      <c r="B5" s="3" t="s">
        <v>19</v>
      </c>
      <c r="C5" s="3">
        <v>3.0</v>
      </c>
    </row>
    <row r="6">
      <c r="A6" s="3" t="s">
        <v>34</v>
      </c>
      <c r="B6" s="3" t="s">
        <v>2</v>
      </c>
      <c r="C6" s="3">
        <v>41.0</v>
      </c>
    </row>
    <row r="7">
      <c r="A7" s="3" t="s">
        <v>34</v>
      </c>
      <c r="B7" s="3" t="s">
        <v>19</v>
      </c>
      <c r="C7" s="3">
        <v>4.0</v>
      </c>
    </row>
    <row r="8">
      <c r="A8" s="3" t="s">
        <v>35</v>
      </c>
      <c r="B8" s="3" t="s">
        <v>2</v>
      </c>
      <c r="C8" s="3">
        <v>52.0</v>
      </c>
    </row>
    <row r="9">
      <c r="A9" s="3" t="s">
        <v>35</v>
      </c>
      <c r="B9" s="3" t="s">
        <v>19</v>
      </c>
      <c r="C9" s="3">
        <v>10.0</v>
      </c>
    </row>
    <row r="10">
      <c r="A10" s="3" t="s">
        <v>36</v>
      </c>
      <c r="B10" s="3" t="s">
        <v>2</v>
      </c>
      <c r="C10" s="3">
        <v>38.0</v>
      </c>
    </row>
    <row r="11">
      <c r="A11" s="3" t="s">
        <v>36</v>
      </c>
      <c r="B11" s="3" t="s">
        <v>19</v>
      </c>
      <c r="C11" s="3">
        <v>9.0</v>
      </c>
    </row>
    <row r="12">
      <c r="A12" s="3" t="s">
        <v>37</v>
      </c>
      <c r="B12" s="3" t="s">
        <v>2</v>
      </c>
      <c r="C12" s="3">
        <v>30.0</v>
      </c>
    </row>
    <row r="13">
      <c r="A13" s="3" t="s">
        <v>37</v>
      </c>
      <c r="B13" s="3" t="s">
        <v>19</v>
      </c>
      <c r="C13" s="3">
        <v>9.0</v>
      </c>
    </row>
    <row r="14">
      <c r="A14" s="3" t="s">
        <v>38</v>
      </c>
      <c r="B14" s="3" t="s">
        <v>2</v>
      </c>
      <c r="C14" s="3">
        <v>32.0</v>
      </c>
    </row>
    <row r="15">
      <c r="A15" s="3" t="s">
        <v>38</v>
      </c>
      <c r="B15" s="3" t="s">
        <v>19</v>
      </c>
      <c r="C15" s="3">
        <v>8.0</v>
      </c>
    </row>
    <row r="16">
      <c r="A16" s="3" t="s">
        <v>39</v>
      </c>
      <c r="B16" s="3" t="s">
        <v>2</v>
      </c>
      <c r="C16" s="3">
        <v>14.0</v>
      </c>
    </row>
    <row r="17">
      <c r="A17" s="3" t="s">
        <v>39</v>
      </c>
      <c r="B17" s="3" t="s">
        <v>19</v>
      </c>
      <c r="C17" s="3">
        <v>7.0</v>
      </c>
    </row>
    <row r="18">
      <c r="A18" s="3" t="s">
        <v>40</v>
      </c>
      <c r="B18" s="3" t="s">
        <v>2</v>
      </c>
      <c r="C18" s="3">
        <v>6.0</v>
      </c>
    </row>
    <row r="19">
      <c r="A19" s="3" t="s">
        <v>40</v>
      </c>
      <c r="B19" s="3" t="s">
        <v>19</v>
      </c>
      <c r="C19" s="3">
        <v>3.0</v>
      </c>
    </row>
    <row r="20">
      <c r="A20" s="3" t="s">
        <v>29</v>
      </c>
      <c r="B20" s="3" t="s">
        <v>2</v>
      </c>
      <c r="C20" s="3">
        <v>8.0</v>
      </c>
    </row>
    <row r="21">
      <c r="A21" s="3" t="s">
        <v>29</v>
      </c>
      <c r="B21" s="3" t="s">
        <v>19</v>
      </c>
      <c r="C21" s="3">
        <v>1.0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" t="s">
        <v>1</v>
      </c>
      <c r="B1" s="5" t="s">
        <v>41</v>
      </c>
      <c r="C1" s="5" t="s">
        <v>13</v>
      </c>
      <c r="D1" s="5" t="s">
        <v>42</v>
      </c>
      <c r="E1" s="5" t="s">
        <v>12</v>
      </c>
      <c r="F1" s="5" t="s">
        <v>43</v>
      </c>
      <c r="G1" s="5" t="s">
        <v>44</v>
      </c>
      <c r="H1" s="5" t="s">
        <v>45</v>
      </c>
      <c r="I1" s="5" t="s">
        <v>16</v>
      </c>
      <c r="J1" s="5" t="s">
        <v>46</v>
      </c>
      <c r="K1" s="5" t="s">
        <v>4</v>
      </c>
    </row>
    <row r="2">
      <c r="A2" s="6">
        <v>1985.0</v>
      </c>
      <c r="B2" s="6">
        <v>2.0</v>
      </c>
      <c r="C2" s="6">
        <v>0.0</v>
      </c>
      <c r="D2" s="6">
        <v>0.0</v>
      </c>
      <c r="E2" s="6">
        <v>0.0</v>
      </c>
      <c r="F2" s="6">
        <v>1.0</v>
      </c>
      <c r="G2" s="6">
        <v>0.0</v>
      </c>
      <c r="H2" s="6">
        <v>0.0</v>
      </c>
      <c r="I2" s="6">
        <v>0.0</v>
      </c>
      <c r="J2" s="6">
        <v>0.0</v>
      </c>
      <c r="K2" s="6">
        <v>3.0</v>
      </c>
    </row>
    <row r="3">
      <c r="A3" s="6">
        <v>1986.0</v>
      </c>
      <c r="B3" s="6">
        <v>8.0</v>
      </c>
      <c r="C3" s="6">
        <v>0.0</v>
      </c>
      <c r="D3" s="6">
        <v>0.0</v>
      </c>
      <c r="E3" s="6">
        <v>1.0</v>
      </c>
      <c r="F3" s="6">
        <v>13.0</v>
      </c>
      <c r="G3" s="6">
        <v>0.0</v>
      </c>
      <c r="H3" s="6">
        <v>0.0</v>
      </c>
      <c r="I3" s="6">
        <v>0.0</v>
      </c>
      <c r="J3" s="6">
        <v>1.0</v>
      </c>
      <c r="K3" s="6">
        <v>23.0</v>
      </c>
    </row>
    <row r="4">
      <c r="A4" s="6">
        <v>1987.0</v>
      </c>
      <c r="B4" s="6">
        <v>22.0</v>
      </c>
      <c r="C4" s="6">
        <v>0.0</v>
      </c>
      <c r="D4" s="6">
        <v>0.0</v>
      </c>
      <c r="E4" s="6">
        <v>1.0</v>
      </c>
      <c r="F4" s="6">
        <v>1.0</v>
      </c>
      <c r="G4" s="6">
        <v>0.0</v>
      </c>
      <c r="H4" s="6">
        <v>0.0</v>
      </c>
      <c r="I4" s="6">
        <v>0.0</v>
      </c>
      <c r="J4" s="6">
        <v>0.0</v>
      </c>
      <c r="K4" s="6">
        <v>24.0</v>
      </c>
    </row>
    <row r="5">
      <c r="A5" s="6">
        <v>1988.0</v>
      </c>
      <c r="B5" s="6">
        <v>20.0</v>
      </c>
      <c r="C5" s="6">
        <v>0.0</v>
      </c>
      <c r="D5" s="6">
        <v>0.0</v>
      </c>
      <c r="E5" s="6">
        <v>3.0</v>
      </c>
      <c r="F5" s="6">
        <v>1.0</v>
      </c>
      <c r="G5" s="6">
        <v>11.0</v>
      </c>
      <c r="H5" s="6">
        <v>0.0</v>
      </c>
      <c r="I5" s="6">
        <v>0.0</v>
      </c>
      <c r="J5" s="6">
        <v>0.0</v>
      </c>
      <c r="K5" s="6">
        <v>35.0</v>
      </c>
    </row>
    <row r="6">
      <c r="A6" s="6">
        <v>1989.0</v>
      </c>
      <c r="B6" s="6">
        <v>6.0</v>
      </c>
      <c r="C6" s="6">
        <v>0.0</v>
      </c>
      <c r="D6" s="6">
        <v>0.0</v>
      </c>
      <c r="E6" s="6">
        <v>1.0</v>
      </c>
      <c r="F6" s="6">
        <v>0.0</v>
      </c>
      <c r="G6" s="6">
        <v>1.0</v>
      </c>
      <c r="H6" s="6">
        <v>0.0</v>
      </c>
      <c r="I6" s="6">
        <v>0.0</v>
      </c>
      <c r="J6" s="6">
        <v>0.0</v>
      </c>
      <c r="K6" s="6">
        <v>8.0</v>
      </c>
    </row>
    <row r="7">
      <c r="A7" s="6">
        <v>1990.0</v>
      </c>
      <c r="B7" s="6">
        <v>11.0</v>
      </c>
      <c r="C7" s="6">
        <v>0.0</v>
      </c>
      <c r="D7" s="6">
        <v>0.0</v>
      </c>
      <c r="E7" s="6">
        <v>2.0</v>
      </c>
      <c r="F7" s="6">
        <v>0.0</v>
      </c>
      <c r="G7" s="6">
        <v>2.0</v>
      </c>
      <c r="H7" s="6">
        <v>0.0</v>
      </c>
      <c r="I7" s="6">
        <v>0.0</v>
      </c>
      <c r="J7" s="6">
        <v>0.0</v>
      </c>
      <c r="K7" s="6">
        <v>15.0</v>
      </c>
    </row>
    <row r="8">
      <c r="A8" s="6">
        <v>1991.0</v>
      </c>
      <c r="B8" s="6">
        <v>9.0</v>
      </c>
      <c r="C8" s="6">
        <v>1.0</v>
      </c>
      <c r="D8" s="6">
        <v>0.0</v>
      </c>
      <c r="E8" s="6">
        <v>2.0</v>
      </c>
      <c r="F8" s="6">
        <v>0.0</v>
      </c>
      <c r="G8" s="6">
        <v>0.0</v>
      </c>
      <c r="H8" s="6">
        <v>0.0</v>
      </c>
      <c r="I8" s="6">
        <v>0.0</v>
      </c>
      <c r="J8" s="6">
        <v>1.0</v>
      </c>
      <c r="K8" s="6">
        <v>13.0</v>
      </c>
    </row>
    <row r="9">
      <c r="A9" s="6">
        <v>1992.0</v>
      </c>
      <c r="B9" s="6">
        <v>16.0</v>
      </c>
      <c r="C9" s="6">
        <v>0.0</v>
      </c>
      <c r="D9" s="6">
        <v>0.0</v>
      </c>
      <c r="E9" s="6">
        <v>6.0</v>
      </c>
      <c r="F9" s="6">
        <v>0.0</v>
      </c>
      <c r="G9" s="6">
        <v>0.0</v>
      </c>
      <c r="H9" s="6">
        <v>0.0</v>
      </c>
      <c r="I9" s="6">
        <v>0.0</v>
      </c>
      <c r="J9" s="6">
        <v>1.0</v>
      </c>
      <c r="K9" s="6">
        <v>23.0</v>
      </c>
    </row>
    <row r="10">
      <c r="A10" s="6">
        <v>1993.0</v>
      </c>
      <c r="B10" s="6">
        <v>14.0</v>
      </c>
      <c r="C10" s="6">
        <v>2.0</v>
      </c>
      <c r="D10" s="6">
        <v>0.0</v>
      </c>
      <c r="E10" s="6">
        <v>9.0</v>
      </c>
      <c r="F10" s="6">
        <v>0.0</v>
      </c>
      <c r="G10" s="6">
        <v>0.0</v>
      </c>
      <c r="H10" s="6">
        <v>0.0</v>
      </c>
      <c r="I10" s="6">
        <v>0.0</v>
      </c>
      <c r="J10" s="6">
        <v>2.0</v>
      </c>
      <c r="K10" s="6">
        <v>27.0</v>
      </c>
    </row>
    <row r="11">
      <c r="A11" s="6">
        <v>1994.0</v>
      </c>
      <c r="B11" s="6">
        <v>18.0</v>
      </c>
      <c r="C11" s="6">
        <v>2.0</v>
      </c>
      <c r="D11" s="6">
        <v>0.0</v>
      </c>
      <c r="E11" s="6">
        <v>16.0</v>
      </c>
      <c r="F11" s="6">
        <v>1.0</v>
      </c>
      <c r="G11" s="6">
        <v>0.0</v>
      </c>
      <c r="H11" s="6">
        <v>0.0</v>
      </c>
      <c r="I11" s="6">
        <v>0.0</v>
      </c>
      <c r="J11" s="6">
        <v>1.0</v>
      </c>
      <c r="K11" s="6">
        <v>38.0</v>
      </c>
    </row>
    <row r="12">
      <c r="A12" s="6">
        <v>1995.0</v>
      </c>
      <c r="B12" s="6">
        <v>14.0</v>
      </c>
      <c r="C12" s="6">
        <v>3.0</v>
      </c>
      <c r="D12" s="6">
        <v>1.0</v>
      </c>
      <c r="E12" s="6">
        <v>19.0</v>
      </c>
      <c r="F12" s="6">
        <v>0.0</v>
      </c>
      <c r="G12" s="6">
        <v>0.0</v>
      </c>
      <c r="H12" s="6">
        <v>0.0</v>
      </c>
      <c r="I12" s="6">
        <v>0.0</v>
      </c>
      <c r="J12" s="6">
        <v>3.0</v>
      </c>
      <c r="K12" s="6">
        <v>40.0</v>
      </c>
    </row>
    <row r="13">
      <c r="A13" s="6">
        <v>1996.0</v>
      </c>
      <c r="B13" s="6">
        <v>32.0</v>
      </c>
      <c r="C13" s="6">
        <v>2.0</v>
      </c>
      <c r="D13" s="6">
        <v>0.0</v>
      </c>
      <c r="E13" s="6">
        <v>17.0</v>
      </c>
      <c r="F13" s="6">
        <v>0.0</v>
      </c>
      <c r="G13" s="6">
        <v>0.0</v>
      </c>
      <c r="H13" s="6">
        <v>0.0</v>
      </c>
      <c r="I13" s="6">
        <v>0.0</v>
      </c>
      <c r="J13" s="6">
        <v>0.0</v>
      </c>
      <c r="K13" s="6">
        <v>51.0</v>
      </c>
    </row>
    <row r="14">
      <c r="A14" s="6">
        <v>1997.0</v>
      </c>
      <c r="B14" s="6">
        <v>31.0</v>
      </c>
      <c r="C14" s="6">
        <v>1.0</v>
      </c>
      <c r="D14" s="6">
        <v>2.0</v>
      </c>
      <c r="E14" s="6">
        <v>25.0</v>
      </c>
      <c r="F14" s="6">
        <v>0.0</v>
      </c>
      <c r="G14" s="6">
        <v>0.0</v>
      </c>
      <c r="H14" s="6">
        <v>1.0</v>
      </c>
      <c r="I14" s="6">
        <v>0.0</v>
      </c>
      <c r="J14" s="6">
        <v>2.0</v>
      </c>
      <c r="K14" s="6">
        <v>62.0</v>
      </c>
    </row>
    <row r="15">
      <c r="A15" s="6">
        <v>1998.0</v>
      </c>
      <c r="B15" s="6">
        <v>15.0</v>
      </c>
      <c r="C15" s="6">
        <v>3.0</v>
      </c>
      <c r="D15" s="6">
        <v>2.0</v>
      </c>
      <c r="E15" s="6">
        <v>9.0</v>
      </c>
      <c r="F15" s="6">
        <v>0.0</v>
      </c>
      <c r="G15" s="6">
        <v>0.0</v>
      </c>
      <c r="H15" s="6">
        <v>0.0</v>
      </c>
      <c r="I15" s="6">
        <v>1.0</v>
      </c>
      <c r="J15" s="6">
        <v>0.0</v>
      </c>
      <c r="K15" s="6">
        <v>30.0</v>
      </c>
    </row>
    <row r="16">
      <c r="A16" s="6">
        <v>1999.0</v>
      </c>
      <c r="B16" s="6">
        <v>19.0</v>
      </c>
      <c r="C16" s="6">
        <v>1.0</v>
      </c>
      <c r="D16" s="6">
        <v>1.0</v>
      </c>
      <c r="E16" s="6">
        <v>24.0</v>
      </c>
      <c r="F16" s="6">
        <v>0.0</v>
      </c>
      <c r="G16" s="6">
        <v>0.0</v>
      </c>
      <c r="H16" s="6">
        <v>1.0</v>
      </c>
      <c r="I16" s="6">
        <v>1.0</v>
      </c>
      <c r="J16" s="6">
        <v>3.0</v>
      </c>
      <c r="K16" s="6">
        <v>50.0</v>
      </c>
    </row>
    <row r="17">
      <c r="A17" s="6">
        <v>2000.0</v>
      </c>
      <c r="B17" s="6">
        <v>28.0</v>
      </c>
      <c r="C17" s="6">
        <v>4.0</v>
      </c>
      <c r="D17" s="6">
        <v>0.0</v>
      </c>
      <c r="E17" s="6">
        <v>22.0</v>
      </c>
      <c r="F17" s="6">
        <v>0.0</v>
      </c>
      <c r="G17" s="6">
        <v>0.0</v>
      </c>
      <c r="H17" s="6">
        <v>1.0</v>
      </c>
      <c r="I17" s="6">
        <v>0.0</v>
      </c>
      <c r="J17" s="6">
        <v>3.0</v>
      </c>
      <c r="K17" s="6">
        <v>58.0</v>
      </c>
    </row>
    <row r="18">
      <c r="A18" s="6">
        <v>2001.0</v>
      </c>
      <c r="B18" s="6">
        <v>30.0</v>
      </c>
      <c r="C18" s="6">
        <v>4.0</v>
      </c>
      <c r="D18" s="6">
        <v>2.0</v>
      </c>
      <c r="E18" s="6">
        <v>14.0</v>
      </c>
      <c r="F18" s="6">
        <v>0.0</v>
      </c>
      <c r="G18" s="6">
        <v>0.0</v>
      </c>
      <c r="H18" s="6">
        <v>0.0</v>
      </c>
      <c r="I18" s="6">
        <v>0.0</v>
      </c>
      <c r="J18" s="6">
        <v>1.0</v>
      </c>
      <c r="K18" s="6">
        <v>51.0</v>
      </c>
    </row>
    <row r="19">
      <c r="A19" s="6">
        <v>2002.0</v>
      </c>
      <c r="B19" s="6">
        <v>27.0</v>
      </c>
      <c r="C19" s="6">
        <v>2.0</v>
      </c>
      <c r="D19" s="6">
        <v>1.0</v>
      </c>
      <c r="E19" s="6">
        <v>20.0</v>
      </c>
      <c r="F19" s="6">
        <v>0.0</v>
      </c>
      <c r="G19" s="6">
        <v>0.0</v>
      </c>
      <c r="H19" s="6">
        <v>0.0</v>
      </c>
      <c r="I19" s="6">
        <v>0.0</v>
      </c>
      <c r="J19" s="6">
        <v>0.0</v>
      </c>
      <c r="K19" s="6">
        <v>50.0</v>
      </c>
    </row>
    <row r="20">
      <c r="A20" s="6">
        <v>2003.0</v>
      </c>
      <c r="B20" s="6">
        <v>37.0</v>
      </c>
      <c r="C20" s="6">
        <v>4.0</v>
      </c>
      <c r="D20" s="6">
        <v>1.0</v>
      </c>
      <c r="E20" s="6">
        <v>19.0</v>
      </c>
      <c r="F20" s="6">
        <v>0.0</v>
      </c>
      <c r="G20" s="6">
        <v>0.0</v>
      </c>
      <c r="H20" s="6">
        <v>1.0</v>
      </c>
      <c r="I20" s="6">
        <v>0.0</v>
      </c>
      <c r="J20" s="6">
        <v>1.0</v>
      </c>
      <c r="K20" s="6">
        <v>63.0</v>
      </c>
    </row>
    <row r="21">
      <c r="A21" s="6">
        <v>2004.0</v>
      </c>
      <c r="B21" s="6">
        <v>33.0</v>
      </c>
      <c r="C21" s="6">
        <v>6.0</v>
      </c>
      <c r="D21" s="6">
        <v>2.0</v>
      </c>
      <c r="E21" s="6">
        <v>31.0</v>
      </c>
      <c r="F21" s="6">
        <v>0.0</v>
      </c>
      <c r="G21" s="6">
        <v>0.0</v>
      </c>
      <c r="H21" s="6">
        <v>0.0</v>
      </c>
      <c r="I21" s="6">
        <v>0.0</v>
      </c>
      <c r="J21" s="6">
        <v>0.0</v>
      </c>
      <c r="K21" s="6">
        <v>72.0</v>
      </c>
    </row>
    <row r="22">
      <c r="A22" s="6">
        <v>2005.0</v>
      </c>
      <c r="B22" s="6">
        <v>54.0</v>
      </c>
      <c r="C22" s="6">
        <v>4.0</v>
      </c>
      <c r="D22" s="6">
        <v>1.0</v>
      </c>
      <c r="E22" s="6">
        <v>30.0</v>
      </c>
      <c r="F22" s="6">
        <v>0.0</v>
      </c>
      <c r="G22" s="6">
        <v>0.0</v>
      </c>
      <c r="H22" s="6">
        <v>0.0</v>
      </c>
      <c r="I22" s="6">
        <v>0.0</v>
      </c>
      <c r="J22" s="6">
        <v>1.0</v>
      </c>
      <c r="K22" s="6">
        <v>90.0</v>
      </c>
    </row>
    <row r="23">
      <c r="A23" s="6">
        <v>2006.0</v>
      </c>
      <c r="B23" s="6">
        <v>55.0</v>
      </c>
      <c r="C23" s="6">
        <v>5.0</v>
      </c>
      <c r="D23" s="6">
        <v>2.0</v>
      </c>
      <c r="E23" s="6">
        <v>26.0</v>
      </c>
      <c r="F23" s="6">
        <v>0.0</v>
      </c>
      <c r="G23" s="6">
        <v>0.0</v>
      </c>
      <c r="H23" s="6">
        <v>0.0</v>
      </c>
      <c r="I23" s="6">
        <v>0.0</v>
      </c>
      <c r="J23" s="6">
        <v>3.0</v>
      </c>
      <c r="K23" s="6">
        <v>91.0</v>
      </c>
    </row>
    <row r="24">
      <c r="A24" s="6">
        <v>2007.0</v>
      </c>
      <c r="B24" s="6">
        <v>75.0</v>
      </c>
      <c r="C24" s="6">
        <v>12.0</v>
      </c>
      <c r="D24" s="6">
        <v>5.0</v>
      </c>
      <c r="E24" s="6">
        <v>28.0</v>
      </c>
      <c r="F24" s="6">
        <v>0.0</v>
      </c>
      <c r="G24" s="6">
        <v>0.0</v>
      </c>
      <c r="H24" s="6">
        <v>0.0</v>
      </c>
      <c r="I24" s="6">
        <v>0.0</v>
      </c>
      <c r="J24" s="6">
        <v>1.0</v>
      </c>
      <c r="K24" s="6">
        <v>121.0</v>
      </c>
    </row>
    <row r="25">
      <c r="A25" s="6">
        <v>2008.0</v>
      </c>
      <c r="B25" s="6">
        <v>91.0</v>
      </c>
      <c r="C25" s="6">
        <v>9.0</v>
      </c>
      <c r="D25" s="6">
        <v>4.0</v>
      </c>
      <c r="E25" s="6">
        <v>42.0</v>
      </c>
      <c r="F25" s="6">
        <v>0.0</v>
      </c>
      <c r="G25" s="6">
        <v>0.0</v>
      </c>
      <c r="H25" s="6">
        <v>0.0</v>
      </c>
      <c r="I25" s="6">
        <v>0.0</v>
      </c>
      <c r="J25" s="6">
        <v>2.0</v>
      </c>
      <c r="K25" s="6">
        <v>148.0</v>
      </c>
    </row>
    <row r="26">
      <c r="A26" s="6">
        <v>2009.0</v>
      </c>
      <c r="B26" s="6">
        <v>104.0</v>
      </c>
      <c r="C26" s="6">
        <v>4.0</v>
      </c>
      <c r="D26" s="6">
        <v>3.0</v>
      </c>
      <c r="E26" s="6">
        <v>43.0</v>
      </c>
      <c r="F26" s="6">
        <v>0.0</v>
      </c>
      <c r="G26" s="6">
        <v>0.0</v>
      </c>
      <c r="H26" s="6">
        <v>0.0</v>
      </c>
      <c r="I26" s="6">
        <v>0.0</v>
      </c>
      <c r="J26" s="6">
        <v>2.0</v>
      </c>
      <c r="K26" s="6">
        <v>156.0</v>
      </c>
    </row>
    <row r="27">
      <c r="A27" s="6">
        <v>2010.0</v>
      </c>
      <c r="B27" s="6">
        <v>130.0</v>
      </c>
      <c r="C27" s="6">
        <v>4.0</v>
      </c>
      <c r="D27" s="6">
        <v>3.0</v>
      </c>
      <c r="E27" s="6">
        <v>39.0</v>
      </c>
      <c r="F27" s="6">
        <v>0.0</v>
      </c>
      <c r="G27" s="6">
        <v>0.0</v>
      </c>
      <c r="H27" s="6">
        <v>0.0</v>
      </c>
      <c r="I27" s="6">
        <v>0.0</v>
      </c>
      <c r="J27" s="6">
        <v>4.0</v>
      </c>
      <c r="K27" s="6">
        <v>180.0</v>
      </c>
    </row>
    <row r="28">
      <c r="A28" s="6">
        <v>2011.0</v>
      </c>
      <c r="B28" s="6">
        <v>110.0</v>
      </c>
      <c r="C28" s="6">
        <v>6.0</v>
      </c>
      <c r="D28" s="6">
        <v>6.0</v>
      </c>
      <c r="E28" s="6">
        <v>26.0</v>
      </c>
      <c r="F28" s="6">
        <v>0.0</v>
      </c>
      <c r="G28" s="6">
        <v>0.0</v>
      </c>
      <c r="H28" s="6">
        <v>0.0</v>
      </c>
      <c r="I28" s="6">
        <v>1.0</v>
      </c>
      <c r="J28" s="6">
        <v>4.0</v>
      </c>
      <c r="K28" s="6">
        <v>153.0</v>
      </c>
    </row>
    <row r="29">
      <c r="A29" s="6">
        <v>2012.0</v>
      </c>
      <c r="B29" s="6">
        <v>152.0</v>
      </c>
      <c r="C29" s="6">
        <v>5.0</v>
      </c>
      <c r="D29" s="6">
        <v>5.0</v>
      </c>
      <c r="E29" s="6">
        <v>41.0</v>
      </c>
      <c r="F29" s="6">
        <v>0.0</v>
      </c>
      <c r="G29" s="6">
        <v>0.0</v>
      </c>
      <c r="H29" s="6">
        <v>2.0</v>
      </c>
      <c r="I29" s="6">
        <v>1.0</v>
      </c>
      <c r="J29" s="6">
        <v>6.0</v>
      </c>
      <c r="K29" s="6">
        <v>212.0</v>
      </c>
    </row>
    <row r="30">
      <c r="A30" s="6">
        <v>2013.0</v>
      </c>
      <c r="B30" s="6">
        <v>176.0</v>
      </c>
      <c r="C30" s="6">
        <v>6.0</v>
      </c>
      <c r="D30" s="6">
        <v>4.0</v>
      </c>
      <c r="E30" s="6">
        <v>45.0</v>
      </c>
      <c r="F30" s="6">
        <v>0.0</v>
      </c>
      <c r="G30" s="6">
        <v>0.0</v>
      </c>
      <c r="H30" s="6">
        <v>0.0</v>
      </c>
      <c r="I30" s="6">
        <v>0.0</v>
      </c>
      <c r="J30" s="6">
        <v>4.0</v>
      </c>
      <c r="K30" s="6">
        <v>235.0</v>
      </c>
    </row>
    <row r="31">
      <c r="A31" s="6">
        <v>2014.0</v>
      </c>
      <c r="B31" s="6">
        <v>166.0</v>
      </c>
      <c r="C31" s="6">
        <v>9.0</v>
      </c>
      <c r="D31" s="6">
        <v>6.0</v>
      </c>
      <c r="E31" s="6">
        <v>45.0</v>
      </c>
      <c r="F31" s="6">
        <v>0.0</v>
      </c>
      <c r="G31" s="6">
        <v>0.0</v>
      </c>
      <c r="H31" s="6">
        <v>1.0</v>
      </c>
      <c r="I31" s="6">
        <v>0.0</v>
      </c>
      <c r="J31" s="6">
        <v>5.0</v>
      </c>
      <c r="K31" s="6">
        <v>232.0</v>
      </c>
    </row>
    <row r="32">
      <c r="A32" s="6">
        <v>2015.0</v>
      </c>
      <c r="B32" s="6">
        <v>205.0</v>
      </c>
      <c r="C32" s="6">
        <v>4.0</v>
      </c>
      <c r="D32" s="6">
        <v>7.0</v>
      </c>
      <c r="E32" s="6">
        <v>46.0</v>
      </c>
      <c r="F32" s="6">
        <v>0.0</v>
      </c>
      <c r="G32" s="6">
        <v>0.0</v>
      </c>
      <c r="H32" s="6">
        <v>0.0</v>
      </c>
      <c r="I32" s="6">
        <v>0.0</v>
      </c>
      <c r="J32" s="6">
        <v>4.0</v>
      </c>
      <c r="K32" s="6">
        <v>266.0</v>
      </c>
    </row>
    <row r="33">
      <c r="A33" s="6">
        <v>2016.0</v>
      </c>
      <c r="B33" s="6">
        <v>209.0</v>
      </c>
      <c r="C33" s="6">
        <v>7.0</v>
      </c>
      <c r="D33" s="6">
        <v>4.0</v>
      </c>
      <c r="E33" s="6">
        <v>54.0</v>
      </c>
      <c r="F33" s="6">
        <v>0.0</v>
      </c>
      <c r="G33" s="6">
        <v>0.0</v>
      </c>
      <c r="H33" s="6">
        <v>2.0</v>
      </c>
      <c r="I33" s="6">
        <v>1.0</v>
      </c>
      <c r="J33" s="6">
        <v>9.0</v>
      </c>
      <c r="K33" s="6">
        <v>286.0</v>
      </c>
    </row>
    <row r="34">
      <c r="A34" s="6">
        <v>2017.0</v>
      </c>
      <c r="B34" s="6">
        <v>179.0</v>
      </c>
      <c r="C34" s="6">
        <v>5.0</v>
      </c>
      <c r="D34" s="6">
        <v>3.0</v>
      </c>
      <c r="E34" s="6">
        <v>59.0</v>
      </c>
      <c r="F34" s="6">
        <v>0.0</v>
      </c>
      <c r="G34" s="6">
        <v>1.0</v>
      </c>
      <c r="H34" s="6">
        <v>0.0</v>
      </c>
      <c r="I34" s="6">
        <v>2.0</v>
      </c>
      <c r="J34" s="6">
        <v>5.0</v>
      </c>
      <c r="K34" s="6">
        <v>254.0</v>
      </c>
    </row>
    <row r="35">
      <c r="A35" s="6">
        <v>2018.0</v>
      </c>
      <c r="B35" s="6">
        <v>134.0</v>
      </c>
      <c r="C35" s="6">
        <v>7.0</v>
      </c>
      <c r="D35" s="6">
        <v>4.0</v>
      </c>
      <c r="E35" s="6">
        <v>56.0</v>
      </c>
      <c r="F35" s="6">
        <v>0.0</v>
      </c>
      <c r="G35" s="6">
        <v>0.0</v>
      </c>
      <c r="H35" s="6">
        <v>0.0</v>
      </c>
      <c r="I35" s="6">
        <v>1.0</v>
      </c>
      <c r="J35" s="6">
        <v>6.0</v>
      </c>
      <c r="K35" s="6">
        <v>208.0</v>
      </c>
    </row>
    <row r="36">
      <c r="A36" s="6">
        <v>2019.0</v>
      </c>
      <c r="B36" s="6">
        <v>149.0</v>
      </c>
      <c r="C36" s="6">
        <v>8.0</v>
      </c>
      <c r="D36" s="6">
        <v>2.0</v>
      </c>
      <c r="E36" s="6">
        <v>56.0</v>
      </c>
      <c r="F36" s="6">
        <v>0.0</v>
      </c>
      <c r="G36" s="6">
        <v>1.0</v>
      </c>
      <c r="H36" s="6">
        <v>0.0</v>
      </c>
      <c r="I36" s="6">
        <v>1.0</v>
      </c>
      <c r="J36" s="6">
        <v>5.0</v>
      </c>
      <c r="K36" s="6">
        <v>222.0</v>
      </c>
    </row>
    <row r="37">
      <c r="A37" s="6">
        <v>2020.0</v>
      </c>
      <c r="B37" s="6">
        <v>144.0</v>
      </c>
      <c r="C37" s="6">
        <v>14.0</v>
      </c>
      <c r="D37" s="6">
        <v>1.0</v>
      </c>
      <c r="E37" s="6">
        <v>82.0</v>
      </c>
      <c r="F37" s="6">
        <v>0.0</v>
      </c>
      <c r="G37" s="6">
        <v>0.0</v>
      </c>
      <c r="H37" s="6">
        <v>0.0</v>
      </c>
      <c r="I37" s="6">
        <v>1.0</v>
      </c>
      <c r="J37" s="6">
        <v>9.0</v>
      </c>
      <c r="K37" s="6">
        <v>251.0</v>
      </c>
    </row>
    <row r="38">
      <c r="A38" s="1">
        <v>2021.0</v>
      </c>
      <c r="B38" s="1">
        <v>140.0</v>
      </c>
      <c r="C38" s="1">
        <v>7.0</v>
      </c>
      <c r="D38" s="1">
        <v>3.0</v>
      </c>
      <c r="E38" s="1">
        <v>70.0</v>
      </c>
      <c r="F38" s="1">
        <v>0.0</v>
      </c>
      <c r="G38" s="1">
        <v>1.0</v>
      </c>
      <c r="H38" s="1">
        <v>0.0</v>
      </c>
      <c r="I38" s="1">
        <v>0.0</v>
      </c>
      <c r="J38" s="1">
        <v>12.0</v>
      </c>
      <c r="K38" s="1">
        <v>233.0</v>
      </c>
    </row>
    <row r="39">
      <c r="A39" s="1">
        <v>2022.0</v>
      </c>
      <c r="B39" s="1">
        <v>154.0</v>
      </c>
      <c r="C39" s="1">
        <v>8.0</v>
      </c>
      <c r="D39" s="1">
        <v>4.0</v>
      </c>
      <c r="E39" s="1">
        <v>95.0</v>
      </c>
      <c r="F39" s="1">
        <v>0.0</v>
      </c>
      <c r="G39" s="1">
        <v>1.0</v>
      </c>
      <c r="H39" s="1">
        <v>0.0</v>
      </c>
      <c r="I39" s="1">
        <v>1.0</v>
      </c>
      <c r="J39" s="1">
        <v>29.0</v>
      </c>
      <c r="K39" s="1">
        <v>292.0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1</v>
      </c>
      <c r="B1" s="1" t="s">
        <v>47</v>
      </c>
      <c r="C1" s="1" t="s">
        <v>48</v>
      </c>
    </row>
    <row r="2">
      <c r="A2" s="3">
        <v>1985.0</v>
      </c>
      <c r="B2" s="3" t="s">
        <v>41</v>
      </c>
      <c r="C2" s="3">
        <v>2.0</v>
      </c>
    </row>
    <row r="3">
      <c r="A3" s="3">
        <v>1985.0</v>
      </c>
      <c r="B3" s="3" t="s">
        <v>13</v>
      </c>
      <c r="C3" s="3">
        <v>0.0</v>
      </c>
    </row>
    <row r="4">
      <c r="A4" s="3">
        <v>1985.0</v>
      </c>
      <c r="B4" s="3" t="s">
        <v>42</v>
      </c>
      <c r="C4" s="3">
        <v>0.0</v>
      </c>
    </row>
    <row r="5">
      <c r="A5" s="3">
        <v>1985.0</v>
      </c>
      <c r="B5" s="3" t="s">
        <v>12</v>
      </c>
      <c r="C5" s="3">
        <v>0.0</v>
      </c>
    </row>
    <row r="6">
      <c r="A6" s="3">
        <v>1985.0</v>
      </c>
      <c r="B6" s="3" t="s">
        <v>43</v>
      </c>
      <c r="C6" s="3">
        <v>1.0</v>
      </c>
    </row>
    <row r="7">
      <c r="A7" s="3">
        <v>1985.0</v>
      </c>
      <c r="B7" s="3" t="s">
        <v>44</v>
      </c>
      <c r="C7" s="3">
        <v>0.0</v>
      </c>
    </row>
    <row r="8">
      <c r="A8" s="3">
        <v>1985.0</v>
      </c>
      <c r="B8" s="3" t="s">
        <v>45</v>
      </c>
      <c r="C8" s="3">
        <v>0.0</v>
      </c>
    </row>
    <row r="9">
      <c r="A9" s="3">
        <v>1985.0</v>
      </c>
      <c r="B9" s="3" t="s">
        <v>16</v>
      </c>
      <c r="C9" s="3">
        <v>0.0</v>
      </c>
    </row>
    <row r="10">
      <c r="A10" s="3">
        <v>1985.0</v>
      </c>
      <c r="B10" s="3" t="s">
        <v>46</v>
      </c>
      <c r="C10" s="3">
        <v>0.0</v>
      </c>
    </row>
    <row r="11">
      <c r="A11" s="3">
        <v>1985.0</v>
      </c>
      <c r="B11" s="3" t="s">
        <v>4</v>
      </c>
      <c r="C11" s="3">
        <v>3.0</v>
      </c>
    </row>
    <row r="12">
      <c r="A12" s="3">
        <v>1986.0</v>
      </c>
      <c r="B12" s="3" t="s">
        <v>41</v>
      </c>
      <c r="C12" s="3">
        <v>8.0</v>
      </c>
    </row>
    <row r="13">
      <c r="A13" s="3">
        <v>1986.0</v>
      </c>
      <c r="B13" s="3" t="s">
        <v>13</v>
      </c>
      <c r="C13" s="3">
        <v>0.0</v>
      </c>
    </row>
    <row r="14">
      <c r="A14" s="3">
        <v>1986.0</v>
      </c>
      <c r="B14" s="3" t="s">
        <v>42</v>
      </c>
      <c r="C14" s="3">
        <v>0.0</v>
      </c>
    </row>
    <row r="15">
      <c r="A15" s="3">
        <v>1986.0</v>
      </c>
      <c r="B15" s="3" t="s">
        <v>12</v>
      </c>
      <c r="C15" s="3">
        <v>1.0</v>
      </c>
    </row>
    <row r="16">
      <c r="A16" s="3">
        <v>1986.0</v>
      </c>
      <c r="B16" s="3" t="s">
        <v>43</v>
      </c>
      <c r="C16" s="3">
        <v>13.0</v>
      </c>
    </row>
    <row r="17">
      <c r="A17" s="3">
        <v>1986.0</v>
      </c>
      <c r="B17" s="3" t="s">
        <v>44</v>
      </c>
      <c r="C17" s="3">
        <v>0.0</v>
      </c>
    </row>
    <row r="18">
      <c r="A18" s="3">
        <v>1986.0</v>
      </c>
      <c r="B18" s="3" t="s">
        <v>45</v>
      </c>
      <c r="C18" s="3">
        <v>0.0</v>
      </c>
    </row>
    <row r="19">
      <c r="A19" s="3">
        <v>1986.0</v>
      </c>
      <c r="B19" s="3" t="s">
        <v>16</v>
      </c>
      <c r="C19" s="3">
        <v>0.0</v>
      </c>
    </row>
    <row r="20">
      <c r="A20" s="3">
        <v>1986.0</v>
      </c>
      <c r="B20" s="3" t="s">
        <v>46</v>
      </c>
      <c r="C20" s="3">
        <v>1.0</v>
      </c>
    </row>
    <row r="21">
      <c r="A21" s="3">
        <v>1986.0</v>
      </c>
      <c r="B21" s="3" t="s">
        <v>4</v>
      </c>
      <c r="C21" s="3">
        <v>23.0</v>
      </c>
    </row>
    <row r="22">
      <c r="A22" s="3">
        <v>1987.0</v>
      </c>
      <c r="B22" s="3" t="s">
        <v>41</v>
      </c>
      <c r="C22" s="3">
        <v>22.0</v>
      </c>
    </row>
    <row r="23">
      <c r="A23" s="3">
        <v>1987.0</v>
      </c>
      <c r="B23" s="3" t="s">
        <v>13</v>
      </c>
      <c r="C23" s="3">
        <v>0.0</v>
      </c>
    </row>
    <row r="24">
      <c r="A24" s="3">
        <v>1987.0</v>
      </c>
      <c r="B24" s="3" t="s">
        <v>42</v>
      </c>
      <c r="C24" s="3">
        <v>0.0</v>
      </c>
    </row>
    <row r="25">
      <c r="A25" s="3">
        <v>1987.0</v>
      </c>
      <c r="B25" s="3" t="s">
        <v>12</v>
      </c>
      <c r="C25" s="3">
        <v>1.0</v>
      </c>
    </row>
    <row r="26">
      <c r="A26" s="3">
        <v>1987.0</v>
      </c>
      <c r="B26" s="3" t="s">
        <v>43</v>
      </c>
      <c r="C26" s="3">
        <v>1.0</v>
      </c>
    </row>
    <row r="27">
      <c r="A27" s="3">
        <v>1987.0</v>
      </c>
      <c r="B27" s="3" t="s">
        <v>44</v>
      </c>
      <c r="C27" s="3">
        <v>0.0</v>
      </c>
    </row>
    <row r="28">
      <c r="A28" s="3">
        <v>1987.0</v>
      </c>
      <c r="B28" s="3" t="s">
        <v>45</v>
      </c>
      <c r="C28" s="3">
        <v>0.0</v>
      </c>
    </row>
    <row r="29">
      <c r="A29" s="3">
        <v>1987.0</v>
      </c>
      <c r="B29" s="3" t="s">
        <v>16</v>
      </c>
      <c r="C29" s="3">
        <v>0.0</v>
      </c>
    </row>
    <row r="30">
      <c r="A30" s="3">
        <v>1987.0</v>
      </c>
      <c r="B30" s="3" t="s">
        <v>46</v>
      </c>
      <c r="C30" s="3">
        <v>0.0</v>
      </c>
    </row>
    <row r="31">
      <c r="A31" s="3">
        <v>1987.0</v>
      </c>
      <c r="B31" s="3" t="s">
        <v>4</v>
      </c>
      <c r="C31" s="3">
        <v>24.0</v>
      </c>
    </row>
    <row r="32">
      <c r="A32" s="3">
        <v>1988.0</v>
      </c>
      <c r="B32" s="3" t="s">
        <v>41</v>
      </c>
      <c r="C32" s="3">
        <v>20.0</v>
      </c>
    </row>
    <row r="33">
      <c r="A33" s="3">
        <v>1988.0</v>
      </c>
      <c r="B33" s="3" t="s">
        <v>13</v>
      </c>
      <c r="C33" s="3">
        <v>0.0</v>
      </c>
    </row>
    <row r="34">
      <c r="A34" s="3">
        <v>1988.0</v>
      </c>
      <c r="B34" s="3" t="s">
        <v>42</v>
      </c>
      <c r="C34" s="3">
        <v>0.0</v>
      </c>
    </row>
    <row r="35">
      <c r="A35" s="3">
        <v>1988.0</v>
      </c>
      <c r="B35" s="3" t="s">
        <v>12</v>
      </c>
      <c r="C35" s="3">
        <v>3.0</v>
      </c>
    </row>
    <row r="36">
      <c r="A36" s="3">
        <v>1988.0</v>
      </c>
      <c r="B36" s="3" t="s">
        <v>43</v>
      </c>
      <c r="C36" s="3">
        <v>1.0</v>
      </c>
    </row>
    <row r="37">
      <c r="A37" s="3">
        <v>1988.0</v>
      </c>
      <c r="B37" s="3" t="s">
        <v>44</v>
      </c>
      <c r="C37" s="3">
        <v>11.0</v>
      </c>
    </row>
    <row r="38">
      <c r="A38" s="3">
        <v>1988.0</v>
      </c>
      <c r="B38" s="3" t="s">
        <v>45</v>
      </c>
      <c r="C38" s="3">
        <v>0.0</v>
      </c>
    </row>
    <row r="39">
      <c r="A39" s="3">
        <v>1988.0</v>
      </c>
      <c r="B39" s="3" t="s">
        <v>16</v>
      </c>
      <c r="C39" s="3">
        <v>0.0</v>
      </c>
    </row>
    <row r="40">
      <c r="A40" s="3">
        <v>1988.0</v>
      </c>
      <c r="B40" s="3" t="s">
        <v>46</v>
      </c>
      <c r="C40" s="3">
        <v>0.0</v>
      </c>
    </row>
    <row r="41">
      <c r="A41" s="3">
        <v>1988.0</v>
      </c>
      <c r="B41" s="3" t="s">
        <v>4</v>
      </c>
      <c r="C41" s="3">
        <v>35.0</v>
      </c>
    </row>
    <row r="42">
      <c r="A42" s="3">
        <v>1989.0</v>
      </c>
      <c r="B42" s="3" t="s">
        <v>41</v>
      </c>
      <c r="C42" s="3">
        <v>6.0</v>
      </c>
    </row>
    <row r="43">
      <c r="A43" s="3">
        <v>1989.0</v>
      </c>
      <c r="B43" s="3" t="s">
        <v>13</v>
      </c>
      <c r="C43" s="3">
        <v>0.0</v>
      </c>
    </row>
    <row r="44">
      <c r="A44" s="3">
        <v>1989.0</v>
      </c>
      <c r="B44" s="3" t="s">
        <v>42</v>
      </c>
      <c r="C44" s="3">
        <v>0.0</v>
      </c>
    </row>
    <row r="45">
      <c r="A45" s="3">
        <v>1989.0</v>
      </c>
      <c r="B45" s="3" t="s">
        <v>12</v>
      </c>
      <c r="C45" s="3">
        <v>1.0</v>
      </c>
    </row>
    <row r="46">
      <c r="A46" s="3">
        <v>1989.0</v>
      </c>
      <c r="B46" s="3" t="s">
        <v>43</v>
      </c>
      <c r="C46" s="3">
        <v>0.0</v>
      </c>
    </row>
    <row r="47">
      <c r="A47" s="3">
        <v>1989.0</v>
      </c>
      <c r="B47" s="3" t="s">
        <v>44</v>
      </c>
      <c r="C47" s="3">
        <v>1.0</v>
      </c>
    </row>
    <row r="48">
      <c r="A48" s="3">
        <v>1989.0</v>
      </c>
      <c r="B48" s="3" t="s">
        <v>45</v>
      </c>
      <c r="C48" s="3">
        <v>0.0</v>
      </c>
    </row>
    <row r="49">
      <c r="A49" s="3">
        <v>1989.0</v>
      </c>
      <c r="B49" s="3" t="s">
        <v>16</v>
      </c>
      <c r="C49" s="3">
        <v>0.0</v>
      </c>
    </row>
    <row r="50">
      <c r="A50" s="3">
        <v>1989.0</v>
      </c>
      <c r="B50" s="3" t="s">
        <v>46</v>
      </c>
      <c r="C50" s="3">
        <v>0.0</v>
      </c>
    </row>
    <row r="51">
      <c r="A51" s="3">
        <v>1989.0</v>
      </c>
      <c r="B51" s="3" t="s">
        <v>4</v>
      </c>
      <c r="C51" s="3">
        <v>8.0</v>
      </c>
    </row>
    <row r="52">
      <c r="A52" s="3">
        <v>1990.0</v>
      </c>
      <c r="B52" s="3" t="s">
        <v>41</v>
      </c>
      <c r="C52" s="3">
        <v>11.0</v>
      </c>
    </row>
    <row r="53">
      <c r="A53" s="3">
        <v>1990.0</v>
      </c>
      <c r="B53" s="3" t="s">
        <v>13</v>
      </c>
      <c r="C53" s="3">
        <v>0.0</v>
      </c>
    </row>
    <row r="54">
      <c r="A54" s="3">
        <v>1990.0</v>
      </c>
      <c r="B54" s="3" t="s">
        <v>42</v>
      </c>
      <c r="C54" s="3">
        <v>0.0</v>
      </c>
    </row>
    <row r="55">
      <c r="A55" s="3">
        <v>1990.0</v>
      </c>
      <c r="B55" s="3" t="s">
        <v>12</v>
      </c>
      <c r="C55" s="3">
        <v>2.0</v>
      </c>
    </row>
    <row r="56">
      <c r="A56" s="3">
        <v>1990.0</v>
      </c>
      <c r="B56" s="3" t="s">
        <v>43</v>
      </c>
      <c r="C56" s="3">
        <v>0.0</v>
      </c>
    </row>
    <row r="57">
      <c r="A57" s="3">
        <v>1990.0</v>
      </c>
      <c r="B57" s="3" t="s">
        <v>44</v>
      </c>
      <c r="C57" s="3">
        <v>2.0</v>
      </c>
    </row>
    <row r="58">
      <c r="A58" s="3">
        <v>1990.0</v>
      </c>
      <c r="B58" s="3" t="s">
        <v>45</v>
      </c>
      <c r="C58" s="3">
        <v>0.0</v>
      </c>
    </row>
    <row r="59">
      <c r="A59" s="3">
        <v>1990.0</v>
      </c>
      <c r="B59" s="3" t="s">
        <v>16</v>
      </c>
      <c r="C59" s="3">
        <v>0.0</v>
      </c>
    </row>
    <row r="60">
      <c r="A60" s="3">
        <v>1990.0</v>
      </c>
      <c r="B60" s="3" t="s">
        <v>46</v>
      </c>
      <c r="C60" s="3">
        <v>0.0</v>
      </c>
    </row>
    <row r="61">
      <c r="A61" s="3">
        <v>1990.0</v>
      </c>
      <c r="B61" s="3" t="s">
        <v>4</v>
      </c>
      <c r="C61" s="3">
        <v>15.0</v>
      </c>
    </row>
    <row r="62">
      <c r="A62" s="3">
        <v>1991.0</v>
      </c>
      <c r="B62" s="3" t="s">
        <v>41</v>
      </c>
      <c r="C62" s="3">
        <v>9.0</v>
      </c>
    </row>
    <row r="63">
      <c r="A63" s="3">
        <v>1991.0</v>
      </c>
      <c r="B63" s="3" t="s">
        <v>13</v>
      </c>
      <c r="C63" s="3">
        <v>1.0</v>
      </c>
    </row>
    <row r="64">
      <c r="A64" s="3">
        <v>1991.0</v>
      </c>
      <c r="B64" s="3" t="s">
        <v>42</v>
      </c>
      <c r="C64" s="3">
        <v>0.0</v>
      </c>
    </row>
    <row r="65">
      <c r="A65" s="3">
        <v>1991.0</v>
      </c>
      <c r="B65" s="3" t="s">
        <v>12</v>
      </c>
      <c r="C65" s="3">
        <v>2.0</v>
      </c>
    </row>
    <row r="66">
      <c r="A66" s="3">
        <v>1991.0</v>
      </c>
      <c r="B66" s="3" t="s">
        <v>43</v>
      </c>
      <c r="C66" s="3">
        <v>0.0</v>
      </c>
    </row>
    <row r="67">
      <c r="A67" s="3">
        <v>1991.0</v>
      </c>
      <c r="B67" s="3" t="s">
        <v>44</v>
      </c>
      <c r="C67" s="3">
        <v>0.0</v>
      </c>
    </row>
    <row r="68">
      <c r="A68" s="3">
        <v>1991.0</v>
      </c>
      <c r="B68" s="3" t="s">
        <v>45</v>
      </c>
      <c r="C68" s="3">
        <v>0.0</v>
      </c>
    </row>
    <row r="69">
      <c r="A69" s="3">
        <v>1991.0</v>
      </c>
      <c r="B69" s="3" t="s">
        <v>16</v>
      </c>
      <c r="C69" s="3">
        <v>0.0</v>
      </c>
    </row>
    <row r="70">
      <c r="A70" s="3">
        <v>1991.0</v>
      </c>
      <c r="B70" s="3" t="s">
        <v>46</v>
      </c>
      <c r="C70" s="3">
        <v>1.0</v>
      </c>
    </row>
    <row r="71">
      <c r="A71" s="3">
        <v>1991.0</v>
      </c>
      <c r="B71" s="3" t="s">
        <v>4</v>
      </c>
      <c r="C71" s="3">
        <v>13.0</v>
      </c>
    </row>
    <row r="72">
      <c r="A72" s="3">
        <v>1992.0</v>
      </c>
      <c r="B72" s="3" t="s">
        <v>41</v>
      </c>
      <c r="C72" s="3">
        <v>16.0</v>
      </c>
    </row>
    <row r="73">
      <c r="A73" s="3">
        <v>1992.0</v>
      </c>
      <c r="B73" s="3" t="s">
        <v>13</v>
      </c>
      <c r="C73" s="3">
        <v>0.0</v>
      </c>
    </row>
    <row r="74">
      <c r="A74" s="3">
        <v>1992.0</v>
      </c>
      <c r="B74" s="3" t="s">
        <v>42</v>
      </c>
      <c r="C74" s="3">
        <v>0.0</v>
      </c>
    </row>
    <row r="75">
      <c r="A75" s="3">
        <v>1992.0</v>
      </c>
      <c r="B75" s="3" t="s">
        <v>12</v>
      </c>
      <c r="C75" s="3">
        <v>6.0</v>
      </c>
    </row>
    <row r="76">
      <c r="A76" s="3">
        <v>1992.0</v>
      </c>
      <c r="B76" s="3" t="s">
        <v>43</v>
      </c>
      <c r="C76" s="3">
        <v>0.0</v>
      </c>
    </row>
    <row r="77">
      <c r="A77" s="3">
        <v>1992.0</v>
      </c>
      <c r="B77" s="3" t="s">
        <v>44</v>
      </c>
      <c r="C77" s="3">
        <v>0.0</v>
      </c>
    </row>
    <row r="78">
      <c r="A78" s="3">
        <v>1992.0</v>
      </c>
      <c r="B78" s="3" t="s">
        <v>45</v>
      </c>
      <c r="C78" s="3">
        <v>0.0</v>
      </c>
    </row>
    <row r="79">
      <c r="A79" s="3">
        <v>1992.0</v>
      </c>
      <c r="B79" s="3" t="s">
        <v>16</v>
      </c>
      <c r="C79" s="3">
        <v>0.0</v>
      </c>
    </row>
    <row r="80">
      <c r="A80" s="3">
        <v>1992.0</v>
      </c>
      <c r="B80" s="3" t="s">
        <v>46</v>
      </c>
      <c r="C80" s="3">
        <v>1.0</v>
      </c>
    </row>
    <row r="81">
      <c r="A81" s="3">
        <v>1992.0</v>
      </c>
      <c r="B81" s="3" t="s">
        <v>4</v>
      </c>
      <c r="C81" s="3">
        <v>23.0</v>
      </c>
    </row>
    <row r="82">
      <c r="A82" s="3">
        <v>1993.0</v>
      </c>
      <c r="B82" s="3" t="s">
        <v>41</v>
      </c>
      <c r="C82" s="3">
        <v>14.0</v>
      </c>
    </row>
    <row r="83">
      <c r="A83" s="3">
        <v>1993.0</v>
      </c>
      <c r="B83" s="3" t="s">
        <v>13</v>
      </c>
      <c r="C83" s="3">
        <v>2.0</v>
      </c>
    </row>
    <row r="84">
      <c r="A84" s="3">
        <v>1993.0</v>
      </c>
      <c r="B84" s="3" t="s">
        <v>42</v>
      </c>
      <c r="C84" s="3">
        <v>0.0</v>
      </c>
    </row>
    <row r="85">
      <c r="A85" s="3">
        <v>1993.0</v>
      </c>
      <c r="B85" s="3" t="s">
        <v>12</v>
      </c>
      <c r="C85" s="3">
        <v>9.0</v>
      </c>
    </row>
    <row r="86">
      <c r="A86" s="3">
        <v>1993.0</v>
      </c>
      <c r="B86" s="3" t="s">
        <v>43</v>
      </c>
      <c r="C86" s="3">
        <v>0.0</v>
      </c>
    </row>
    <row r="87">
      <c r="A87" s="3">
        <v>1993.0</v>
      </c>
      <c r="B87" s="3" t="s">
        <v>44</v>
      </c>
      <c r="C87" s="3">
        <v>0.0</v>
      </c>
    </row>
    <row r="88">
      <c r="A88" s="3">
        <v>1993.0</v>
      </c>
      <c r="B88" s="3" t="s">
        <v>45</v>
      </c>
      <c r="C88" s="3">
        <v>0.0</v>
      </c>
    </row>
    <row r="89">
      <c r="A89" s="3">
        <v>1993.0</v>
      </c>
      <c r="B89" s="3" t="s">
        <v>16</v>
      </c>
      <c r="C89" s="3">
        <v>0.0</v>
      </c>
    </row>
    <row r="90">
      <c r="A90" s="3">
        <v>1993.0</v>
      </c>
      <c r="B90" s="3" t="s">
        <v>46</v>
      </c>
      <c r="C90" s="3">
        <v>2.0</v>
      </c>
    </row>
    <row r="91">
      <c r="A91" s="3">
        <v>1993.0</v>
      </c>
      <c r="B91" s="3" t="s">
        <v>4</v>
      </c>
      <c r="C91" s="3">
        <v>27.0</v>
      </c>
    </row>
    <row r="92">
      <c r="A92" s="3">
        <v>1994.0</v>
      </c>
      <c r="B92" s="3" t="s">
        <v>41</v>
      </c>
      <c r="C92" s="3">
        <v>18.0</v>
      </c>
    </row>
    <row r="93">
      <c r="A93" s="3">
        <v>1994.0</v>
      </c>
      <c r="B93" s="3" t="s">
        <v>13</v>
      </c>
      <c r="C93" s="3">
        <v>2.0</v>
      </c>
    </row>
    <row r="94">
      <c r="A94" s="3">
        <v>1994.0</v>
      </c>
      <c r="B94" s="3" t="s">
        <v>42</v>
      </c>
      <c r="C94" s="3">
        <v>0.0</v>
      </c>
    </row>
    <row r="95">
      <c r="A95" s="3">
        <v>1994.0</v>
      </c>
      <c r="B95" s="3" t="s">
        <v>12</v>
      </c>
      <c r="C95" s="3">
        <v>16.0</v>
      </c>
    </row>
    <row r="96">
      <c r="A96" s="3">
        <v>1994.0</v>
      </c>
      <c r="B96" s="3" t="s">
        <v>43</v>
      </c>
      <c r="C96" s="3">
        <v>1.0</v>
      </c>
    </row>
    <row r="97">
      <c r="A97" s="3">
        <v>1994.0</v>
      </c>
      <c r="B97" s="3" t="s">
        <v>44</v>
      </c>
      <c r="C97" s="3">
        <v>0.0</v>
      </c>
    </row>
    <row r="98">
      <c r="A98" s="3">
        <v>1994.0</v>
      </c>
      <c r="B98" s="3" t="s">
        <v>45</v>
      </c>
      <c r="C98" s="3">
        <v>0.0</v>
      </c>
    </row>
    <row r="99">
      <c r="A99" s="3">
        <v>1994.0</v>
      </c>
      <c r="B99" s="3" t="s">
        <v>16</v>
      </c>
      <c r="C99" s="3">
        <v>0.0</v>
      </c>
    </row>
    <row r="100">
      <c r="A100" s="3">
        <v>1994.0</v>
      </c>
      <c r="B100" s="3" t="s">
        <v>46</v>
      </c>
      <c r="C100" s="3">
        <v>1.0</v>
      </c>
    </row>
    <row r="101">
      <c r="A101" s="3">
        <v>1994.0</v>
      </c>
      <c r="B101" s="3" t="s">
        <v>4</v>
      </c>
      <c r="C101" s="3">
        <v>38.0</v>
      </c>
    </row>
    <row r="102">
      <c r="A102" s="3">
        <v>1995.0</v>
      </c>
      <c r="B102" s="3" t="s">
        <v>41</v>
      </c>
      <c r="C102" s="3">
        <v>14.0</v>
      </c>
    </row>
    <row r="103">
      <c r="A103" s="3">
        <v>1995.0</v>
      </c>
      <c r="B103" s="3" t="s">
        <v>13</v>
      </c>
      <c r="C103" s="3">
        <v>3.0</v>
      </c>
    </row>
    <row r="104">
      <c r="A104" s="3">
        <v>1995.0</v>
      </c>
      <c r="B104" s="3" t="s">
        <v>42</v>
      </c>
      <c r="C104" s="3">
        <v>1.0</v>
      </c>
    </row>
    <row r="105">
      <c r="A105" s="3">
        <v>1995.0</v>
      </c>
      <c r="B105" s="3" t="s">
        <v>12</v>
      </c>
      <c r="C105" s="3">
        <v>19.0</v>
      </c>
    </row>
    <row r="106">
      <c r="A106" s="3">
        <v>1995.0</v>
      </c>
      <c r="B106" s="3" t="s">
        <v>43</v>
      </c>
      <c r="C106" s="3">
        <v>0.0</v>
      </c>
    </row>
    <row r="107">
      <c r="A107" s="3">
        <v>1995.0</v>
      </c>
      <c r="B107" s="3" t="s">
        <v>44</v>
      </c>
      <c r="C107" s="3">
        <v>0.0</v>
      </c>
    </row>
    <row r="108">
      <c r="A108" s="3">
        <v>1995.0</v>
      </c>
      <c r="B108" s="3" t="s">
        <v>45</v>
      </c>
      <c r="C108" s="3">
        <v>0.0</v>
      </c>
    </row>
    <row r="109">
      <c r="A109" s="3">
        <v>1995.0</v>
      </c>
      <c r="B109" s="3" t="s">
        <v>16</v>
      </c>
      <c r="C109" s="3">
        <v>0.0</v>
      </c>
    </row>
    <row r="110">
      <c r="A110" s="3">
        <v>1995.0</v>
      </c>
      <c r="B110" s="3" t="s">
        <v>46</v>
      </c>
      <c r="C110" s="3">
        <v>3.0</v>
      </c>
    </row>
    <row r="111">
      <c r="A111" s="3">
        <v>1995.0</v>
      </c>
      <c r="B111" s="3" t="s">
        <v>4</v>
      </c>
      <c r="C111" s="3">
        <v>40.0</v>
      </c>
    </row>
    <row r="112">
      <c r="A112" s="3">
        <v>1996.0</v>
      </c>
      <c r="B112" s="3" t="s">
        <v>41</v>
      </c>
      <c r="C112" s="3">
        <v>32.0</v>
      </c>
    </row>
    <row r="113">
      <c r="A113" s="3">
        <v>1996.0</v>
      </c>
      <c r="B113" s="3" t="s">
        <v>13</v>
      </c>
      <c r="C113" s="3">
        <v>2.0</v>
      </c>
    </row>
    <row r="114">
      <c r="A114" s="3">
        <v>1996.0</v>
      </c>
      <c r="B114" s="3" t="s">
        <v>42</v>
      </c>
      <c r="C114" s="3">
        <v>0.0</v>
      </c>
    </row>
    <row r="115">
      <c r="A115" s="3">
        <v>1996.0</v>
      </c>
      <c r="B115" s="3" t="s">
        <v>12</v>
      </c>
      <c r="C115" s="3">
        <v>17.0</v>
      </c>
    </row>
    <row r="116">
      <c r="A116" s="3">
        <v>1996.0</v>
      </c>
      <c r="B116" s="3" t="s">
        <v>43</v>
      </c>
      <c r="C116" s="3">
        <v>0.0</v>
      </c>
    </row>
    <row r="117">
      <c r="A117" s="3">
        <v>1996.0</v>
      </c>
      <c r="B117" s="3" t="s">
        <v>44</v>
      </c>
      <c r="C117" s="3">
        <v>0.0</v>
      </c>
    </row>
    <row r="118">
      <c r="A118" s="3">
        <v>1996.0</v>
      </c>
      <c r="B118" s="3" t="s">
        <v>45</v>
      </c>
      <c r="C118" s="3">
        <v>0.0</v>
      </c>
    </row>
    <row r="119">
      <c r="A119" s="3">
        <v>1996.0</v>
      </c>
      <c r="B119" s="3" t="s">
        <v>16</v>
      </c>
      <c r="C119" s="3">
        <v>0.0</v>
      </c>
    </row>
    <row r="120">
      <c r="A120" s="3">
        <v>1996.0</v>
      </c>
      <c r="B120" s="3" t="s">
        <v>46</v>
      </c>
      <c r="C120" s="3">
        <v>0.0</v>
      </c>
    </row>
    <row r="121">
      <c r="A121" s="3">
        <v>1996.0</v>
      </c>
      <c r="B121" s="3" t="s">
        <v>4</v>
      </c>
      <c r="C121" s="3">
        <v>51.0</v>
      </c>
    </row>
    <row r="122">
      <c r="A122" s="3">
        <v>1997.0</v>
      </c>
      <c r="B122" s="3" t="s">
        <v>41</v>
      </c>
      <c r="C122" s="3">
        <v>31.0</v>
      </c>
    </row>
    <row r="123">
      <c r="A123" s="3">
        <v>1997.0</v>
      </c>
      <c r="B123" s="3" t="s">
        <v>13</v>
      </c>
      <c r="C123" s="3">
        <v>1.0</v>
      </c>
    </row>
    <row r="124">
      <c r="A124" s="3">
        <v>1997.0</v>
      </c>
      <c r="B124" s="3" t="s">
        <v>42</v>
      </c>
      <c r="C124" s="3">
        <v>2.0</v>
      </c>
    </row>
    <row r="125">
      <c r="A125" s="3">
        <v>1997.0</v>
      </c>
      <c r="B125" s="3" t="s">
        <v>12</v>
      </c>
      <c r="C125" s="3">
        <v>25.0</v>
      </c>
    </row>
    <row r="126">
      <c r="A126" s="3">
        <v>1997.0</v>
      </c>
      <c r="B126" s="3" t="s">
        <v>43</v>
      </c>
      <c r="C126" s="3">
        <v>0.0</v>
      </c>
    </row>
    <row r="127">
      <c r="A127" s="3">
        <v>1997.0</v>
      </c>
      <c r="B127" s="3" t="s">
        <v>44</v>
      </c>
      <c r="C127" s="3">
        <v>0.0</v>
      </c>
    </row>
    <row r="128">
      <c r="A128" s="3">
        <v>1997.0</v>
      </c>
      <c r="B128" s="3" t="s">
        <v>45</v>
      </c>
      <c r="C128" s="3">
        <v>1.0</v>
      </c>
    </row>
    <row r="129">
      <c r="A129" s="3">
        <v>1997.0</v>
      </c>
      <c r="B129" s="3" t="s">
        <v>16</v>
      </c>
      <c r="C129" s="3">
        <v>0.0</v>
      </c>
    </row>
    <row r="130">
      <c r="A130" s="3">
        <v>1997.0</v>
      </c>
      <c r="B130" s="3" t="s">
        <v>46</v>
      </c>
      <c r="C130" s="3">
        <v>2.0</v>
      </c>
    </row>
    <row r="131">
      <c r="A131" s="3">
        <v>1997.0</v>
      </c>
      <c r="B131" s="3" t="s">
        <v>4</v>
      </c>
      <c r="C131" s="3">
        <v>62.0</v>
      </c>
    </row>
    <row r="132">
      <c r="A132" s="3">
        <v>1998.0</v>
      </c>
      <c r="B132" s="3" t="s">
        <v>41</v>
      </c>
      <c r="C132" s="3">
        <v>15.0</v>
      </c>
    </row>
    <row r="133">
      <c r="A133" s="3">
        <v>1998.0</v>
      </c>
      <c r="B133" s="3" t="s">
        <v>13</v>
      </c>
      <c r="C133" s="3">
        <v>3.0</v>
      </c>
    </row>
    <row r="134">
      <c r="A134" s="3">
        <v>1998.0</v>
      </c>
      <c r="B134" s="3" t="s">
        <v>42</v>
      </c>
      <c r="C134" s="3">
        <v>2.0</v>
      </c>
    </row>
    <row r="135">
      <c r="A135" s="3">
        <v>1998.0</v>
      </c>
      <c r="B135" s="3" t="s">
        <v>12</v>
      </c>
      <c r="C135" s="3">
        <v>9.0</v>
      </c>
    </row>
    <row r="136">
      <c r="A136" s="3">
        <v>1998.0</v>
      </c>
      <c r="B136" s="3" t="s">
        <v>43</v>
      </c>
      <c r="C136" s="3">
        <v>0.0</v>
      </c>
    </row>
    <row r="137">
      <c r="A137" s="3">
        <v>1998.0</v>
      </c>
      <c r="B137" s="3" t="s">
        <v>44</v>
      </c>
      <c r="C137" s="3">
        <v>0.0</v>
      </c>
    </row>
    <row r="138">
      <c r="A138" s="3">
        <v>1998.0</v>
      </c>
      <c r="B138" s="3" t="s">
        <v>45</v>
      </c>
      <c r="C138" s="3">
        <v>0.0</v>
      </c>
    </row>
    <row r="139">
      <c r="A139" s="3">
        <v>1998.0</v>
      </c>
      <c r="B139" s="3" t="s">
        <v>16</v>
      </c>
      <c r="C139" s="3">
        <v>1.0</v>
      </c>
    </row>
    <row r="140">
      <c r="A140" s="3">
        <v>1998.0</v>
      </c>
      <c r="B140" s="3" t="s">
        <v>46</v>
      </c>
      <c r="C140" s="3">
        <v>0.0</v>
      </c>
    </row>
    <row r="141">
      <c r="A141" s="3">
        <v>1998.0</v>
      </c>
      <c r="B141" s="3" t="s">
        <v>4</v>
      </c>
      <c r="C141" s="3">
        <v>30.0</v>
      </c>
    </row>
    <row r="142">
      <c r="A142" s="3">
        <v>1999.0</v>
      </c>
      <c r="B142" s="3" t="s">
        <v>41</v>
      </c>
      <c r="C142" s="3">
        <v>19.0</v>
      </c>
    </row>
    <row r="143">
      <c r="A143" s="3">
        <v>1999.0</v>
      </c>
      <c r="B143" s="3" t="s">
        <v>13</v>
      </c>
      <c r="C143" s="3">
        <v>1.0</v>
      </c>
    </row>
    <row r="144">
      <c r="A144" s="3">
        <v>1999.0</v>
      </c>
      <c r="B144" s="3" t="s">
        <v>42</v>
      </c>
      <c r="C144" s="3">
        <v>1.0</v>
      </c>
    </row>
    <row r="145">
      <c r="A145" s="3">
        <v>1999.0</v>
      </c>
      <c r="B145" s="3" t="s">
        <v>12</v>
      </c>
      <c r="C145" s="3">
        <v>24.0</v>
      </c>
    </row>
    <row r="146">
      <c r="A146" s="3">
        <v>1999.0</v>
      </c>
      <c r="B146" s="3" t="s">
        <v>43</v>
      </c>
      <c r="C146" s="3">
        <v>0.0</v>
      </c>
    </row>
    <row r="147">
      <c r="A147" s="3">
        <v>1999.0</v>
      </c>
      <c r="B147" s="3" t="s">
        <v>44</v>
      </c>
      <c r="C147" s="3">
        <v>0.0</v>
      </c>
    </row>
    <row r="148">
      <c r="A148" s="3">
        <v>1999.0</v>
      </c>
      <c r="B148" s="3" t="s">
        <v>45</v>
      </c>
      <c r="C148" s="3">
        <v>1.0</v>
      </c>
    </row>
    <row r="149">
      <c r="A149" s="3">
        <v>1999.0</v>
      </c>
      <c r="B149" s="3" t="s">
        <v>16</v>
      </c>
      <c r="C149" s="3">
        <v>1.0</v>
      </c>
    </row>
    <row r="150">
      <c r="A150" s="3">
        <v>1999.0</v>
      </c>
      <c r="B150" s="3" t="s">
        <v>46</v>
      </c>
      <c r="C150" s="3">
        <v>3.0</v>
      </c>
    </row>
    <row r="151">
      <c r="A151" s="3">
        <v>1999.0</v>
      </c>
      <c r="B151" s="3" t="s">
        <v>4</v>
      </c>
      <c r="C151" s="3">
        <v>50.0</v>
      </c>
    </row>
    <row r="152">
      <c r="A152" s="3">
        <v>2000.0</v>
      </c>
      <c r="B152" s="3" t="s">
        <v>41</v>
      </c>
      <c r="C152" s="3">
        <v>28.0</v>
      </c>
    </row>
    <row r="153">
      <c r="A153" s="3">
        <v>2000.0</v>
      </c>
      <c r="B153" s="3" t="s">
        <v>13</v>
      </c>
      <c r="C153" s="3">
        <v>4.0</v>
      </c>
    </row>
    <row r="154">
      <c r="A154" s="3">
        <v>2000.0</v>
      </c>
      <c r="B154" s="3" t="s">
        <v>42</v>
      </c>
      <c r="C154" s="3">
        <v>0.0</v>
      </c>
    </row>
    <row r="155">
      <c r="A155" s="3">
        <v>2000.0</v>
      </c>
      <c r="B155" s="3" t="s">
        <v>12</v>
      </c>
      <c r="C155" s="3">
        <v>22.0</v>
      </c>
    </row>
    <row r="156">
      <c r="A156" s="3">
        <v>2000.0</v>
      </c>
      <c r="B156" s="3" t="s">
        <v>43</v>
      </c>
      <c r="C156" s="3">
        <v>0.0</v>
      </c>
    </row>
    <row r="157">
      <c r="A157" s="3">
        <v>2000.0</v>
      </c>
      <c r="B157" s="3" t="s">
        <v>44</v>
      </c>
      <c r="C157" s="3">
        <v>0.0</v>
      </c>
    </row>
    <row r="158">
      <c r="A158" s="3">
        <v>2000.0</v>
      </c>
      <c r="B158" s="3" t="s">
        <v>45</v>
      </c>
      <c r="C158" s="3">
        <v>1.0</v>
      </c>
    </row>
    <row r="159">
      <c r="A159" s="3">
        <v>2000.0</v>
      </c>
      <c r="B159" s="3" t="s">
        <v>16</v>
      </c>
      <c r="C159" s="3">
        <v>0.0</v>
      </c>
    </row>
    <row r="160">
      <c r="A160" s="3">
        <v>2000.0</v>
      </c>
      <c r="B160" s="3" t="s">
        <v>46</v>
      </c>
      <c r="C160" s="3">
        <v>3.0</v>
      </c>
    </row>
    <row r="161">
      <c r="A161" s="3">
        <v>2000.0</v>
      </c>
      <c r="B161" s="3" t="s">
        <v>4</v>
      </c>
      <c r="C161" s="3">
        <v>58.0</v>
      </c>
    </row>
    <row r="162">
      <c r="A162" s="3">
        <v>2001.0</v>
      </c>
      <c r="B162" s="3" t="s">
        <v>41</v>
      </c>
      <c r="C162" s="3">
        <v>30.0</v>
      </c>
    </row>
    <row r="163">
      <c r="A163" s="3">
        <v>2001.0</v>
      </c>
      <c r="B163" s="3" t="s">
        <v>13</v>
      </c>
      <c r="C163" s="3">
        <v>4.0</v>
      </c>
    </row>
    <row r="164">
      <c r="A164" s="3">
        <v>2001.0</v>
      </c>
      <c r="B164" s="3" t="s">
        <v>42</v>
      </c>
      <c r="C164" s="3">
        <v>2.0</v>
      </c>
    </row>
    <row r="165">
      <c r="A165" s="3">
        <v>2001.0</v>
      </c>
      <c r="B165" s="3" t="s">
        <v>12</v>
      </c>
      <c r="C165" s="3">
        <v>14.0</v>
      </c>
    </row>
    <row r="166">
      <c r="A166" s="3">
        <v>2001.0</v>
      </c>
      <c r="B166" s="3" t="s">
        <v>43</v>
      </c>
      <c r="C166" s="3">
        <v>0.0</v>
      </c>
    </row>
    <row r="167">
      <c r="A167" s="3">
        <v>2001.0</v>
      </c>
      <c r="B167" s="3" t="s">
        <v>44</v>
      </c>
      <c r="C167" s="3">
        <v>0.0</v>
      </c>
    </row>
    <row r="168">
      <c r="A168" s="3">
        <v>2001.0</v>
      </c>
      <c r="B168" s="3" t="s">
        <v>45</v>
      </c>
      <c r="C168" s="3">
        <v>0.0</v>
      </c>
    </row>
    <row r="169">
      <c r="A169" s="3">
        <v>2001.0</v>
      </c>
      <c r="B169" s="3" t="s">
        <v>16</v>
      </c>
      <c r="C169" s="3">
        <v>0.0</v>
      </c>
    </row>
    <row r="170">
      <c r="A170" s="3">
        <v>2001.0</v>
      </c>
      <c r="B170" s="3" t="s">
        <v>46</v>
      </c>
      <c r="C170" s="3">
        <v>1.0</v>
      </c>
    </row>
    <row r="171">
      <c r="A171" s="3">
        <v>2001.0</v>
      </c>
      <c r="B171" s="3" t="s">
        <v>4</v>
      </c>
      <c r="C171" s="3">
        <v>51.0</v>
      </c>
    </row>
    <row r="172">
      <c r="A172" s="3">
        <v>2002.0</v>
      </c>
      <c r="B172" s="3" t="s">
        <v>41</v>
      </c>
      <c r="C172" s="3">
        <v>27.0</v>
      </c>
    </row>
    <row r="173">
      <c r="A173" s="3">
        <v>2002.0</v>
      </c>
      <c r="B173" s="3" t="s">
        <v>13</v>
      </c>
      <c r="C173" s="3">
        <v>2.0</v>
      </c>
    </row>
    <row r="174">
      <c r="A174" s="3">
        <v>2002.0</v>
      </c>
      <c r="B174" s="3" t="s">
        <v>42</v>
      </c>
      <c r="C174" s="3">
        <v>1.0</v>
      </c>
    </row>
    <row r="175">
      <c r="A175" s="3">
        <v>2002.0</v>
      </c>
      <c r="B175" s="3" t="s">
        <v>12</v>
      </c>
      <c r="C175" s="3">
        <v>20.0</v>
      </c>
    </row>
    <row r="176">
      <c r="A176" s="3">
        <v>2002.0</v>
      </c>
      <c r="B176" s="3" t="s">
        <v>43</v>
      </c>
      <c r="C176" s="3">
        <v>0.0</v>
      </c>
    </row>
    <row r="177">
      <c r="A177" s="3">
        <v>2002.0</v>
      </c>
      <c r="B177" s="3" t="s">
        <v>44</v>
      </c>
      <c r="C177" s="3">
        <v>0.0</v>
      </c>
    </row>
    <row r="178">
      <c r="A178" s="3">
        <v>2002.0</v>
      </c>
      <c r="B178" s="3" t="s">
        <v>45</v>
      </c>
      <c r="C178" s="3">
        <v>0.0</v>
      </c>
    </row>
    <row r="179">
      <c r="A179" s="3">
        <v>2002.0</v>
      </c>
      <c r="B179" s="3" t="s">
        <v>16</v>
      </c>
      <c r="C179" s="3">
        <v>0.0</v>
      </c>
    </row>
    <row r="180">
      <c r="A180" s="3">
        <v>2002.0</v>
      </c>
      <c r="B180" s="3" t="s">
        <v>46</v>
      </c>
      <c r="C180" s="3">
        <v>0.0</v>
      </c>
    </row>
    <row r="181">
      <c r="A181" s="3">
        <v>2002.0</v>
      </c>
      <c r="B181" s="3" t="s">
        <v>4</v>
      </c>
      <c r="C181" s="3">
        <v>50.0</v>
      </c>
    </row>
    <row r="182">
      <c r="A182" s="3">
        <v>2003.0</v>
      </c>
      <c r="B182" s="3" t="s">
        <v>41</v>
      </c>
      <c r="C182" s="3">
        <v>37.0</v>
      </c>
    </row>
    <row r="183">
      <c r="A183" s="3">
        <v>2003.0</v>
      </c>
      <c r="B183" s="3" t="s">
        <v>13</v>
      </c>
      <c r="C183" s="3">
        <v>4.0</v>
      </c>
    </row>
    <row r="184">
      <c r="A184" s="3">
        <v>2003.0</v>
      </c>
      <c r="B184" s="3" t="s">
        <v>42</v>
      </c>
      <c r="C184" s="3">
        <v>1.0</v>
      </c>
    </row>
    <row r="185">
      <c r="A185" s="3">
        <v>2003.0</v>
      </c>
      <c r="B185" s="3" t="s">
        <v>12</v>
      </c>
      <c r="C185" s="3">
        <v>19.0</v>
      </c>
    </row>
    <row r="186">
      <c r="A186" s="3">
        <v>2003.0</v>
      </c>
      <c r="B186" s="3" t="s">
        <v>43</v>
      </c>
      <c r="C186" s="3">
        <v>0.0</v>
      </c>
    </row>
    <row r="187">
      <c r="A187" s="3">
        <v>2003.0</v>
      </c>
      <c r="B187" s="3" t="s">
        <v>44</v>
      </c>
      <c r="C187" s="3">
        <v>0.0</v>
      </c>
    </row>
    <row r="188">
      <c r="A188" s="3">
        <v>2003.0</v>
      </c>
      <c r="B188" s="3" t="s">
        <v>45</v>
      </c>
      <c r="C188" s="3">
        <v>1.0</v>
      </c>
    </row>
    <row r="189">
      <c r="A189" s="3">
        <v>2003.0</v>
      </c>
      <c r="B189" s="3" t="s">
        <v>16</v>
      </c>
      <c r="C189" s="3">
        <v>0.0</v>
      </c>
    </row>
    <row r="190">
      <c r="A190" s="3">
        <v>2003.0</v>
      </c>
      <c r="B190" s="3" t="s">
        <v>46</v>
      </c>
      <c r="C190" s="3">
        <v>1.0</v>
      </c>
    </row>
    <row r="191">
      <c r="A191" s="3">
        <v>2003.0</v>
      </c>
      <c r="B191" s="3" t="s">
        <v>4</v>
      </c>
      <c r="C191" s="3">
        <v>63.0</v>
      </c>
    </row>
    <row r="192">
      <c r="A192" s="3">
        <v>2004.0</v>
      </c>
      <c r="B192" s="3" t="s">
        <v>41</v>
      </c>
      <c r="C192" s="3">
        <v>33.0</v>
      </c>
    </row>
    <row r="193">
      <c r="A193" s="3">
        <v>2004.0</v>
      </c>
      <c r="B193" s="3" t="s">
        <v>13</v>
      </c>
      <c r="C193" s="3">
        <v>6.0</v>
      </c>
    </row>
    <row r="194">
      <c r="A194" s="3">
        <v>2004.0</v>
      </c>
      <c r="B194" s="3" t="s">
        <v>42</v>
      </c>
      <c r="C194" s="3">
        <v>2.0</v>
      </c>
    </row>
    <row r="195">
      <c r="A195" s="3">
        <v>2004.0</v>
      </c>
      <c r="B195" s="3" t="s">
        <v>12</v>
      </c>
      <c r="C195" s="3">
        <v>31.0</v>
      </c>
    </row>
    <row r="196">
      <c r="A196" s="3">
        <v>2004.0</v>
      </c>
      <c r="B196" s="3" t="s">
        <v>43</v>
      </c>
      <c r="C196" s="3">
        <v>0.0</v>
      </c>
    </row>
    <row r="197">
      <c r="A197" s="3">
        <v>2004.0</v>
      </c>
      <c r="B197" s="3" t="s">
        <v>44</v>
      </c>
      <c r="C197" s="3">
        <v>0.0</v>
      </c>
    </row>
    <row r="198">
      <c r="A198" s="3">
        <v>2004.0</v>
      </c>
      <c r="B198" s="3" t="s">
        <v>45</v>
      </c>
      <c r="C198" s="3">
        <v>0.0</v>
      </c>
    </row>
    <row r="199">
      <c r="A199" s="3">
        <v>2004.0</v>
      </c>
      <c r="B199" s="3" t="s">
        <v>16</v>
      </c>
      <c r="C199" s="3">
        <v>0.0</v>
      </c>
    </row>
    <row r="200">
      <c r="A200" s="3">
        <v>2004.0</v>
      </c>
      <c r="B200" s="3" t="s">
        <v>46</v>
      </c>
      <c r="C200" s="3">
        <v>0.0</v>
      </c>
    </row>
    <row r="201">
      <c r="A201" s="3">
        <v>2004.0</v>
      </c>
      <c r="B201" s="3" t="s">
        <v>4</v>
      </c>
      <c r="C201" s="3">
        <v>72.0</v>
      </c>
    </row>
    <row r="202">
      <c r="A202" s="3">
        <v>2005.0</v>
      </c>
      <c r="B202" s="3" t="s">
        <v>41</v>
      </c>
      <c r="C202" s="3">
        <v>54.0</v>
      </c>
    </row>
    <row r="203">
      <c r="A203" s="3">
        <v>2005.0</v>
      </c>
      <c r="B203" s="3" t="s">
        <v>13</v>
      </c>
      <c r="C203" s="3">
        <v>4.0</v>
      </c>
    </row>
    <row r="204">
      <c r="A204" s="3">
        <v>2005.0</v>
      </c>
      <c r="B204" s="3" t="s">
        <v>42</v>
      </c>
      <c r="C204" s="3">
        <v>1.0</v>
      </c>
    </row>
    <row r="205">
      <c r="A205" s="3">
        <v>2005.0</v>
      </c>
      <c r="B205" s="3" t="s">
        <v>12</v>
      </c>
      <c r="C205" s="3">
        <v>30.0</v>
      </c>
    </row>
    <row r="206">
      <c r="A206" s="3">
        <v>2005.0</v>
      </c>
      <c r="B206" s="3" t="s">
        <v>43</v>
      </c>
      <c r="C206" s="3">
        <v>0.0</v>
      </c>
    </row>
    <row r="207">
      <c r="A207" s="3">
        <v>2005.0</v>
      </c>
      <c r="B207" s="3" t="s">
        <v>44</v>
      </c>
      <c r="C207" s="3">
        <v>0.0</v>
      </c>
    </row>
    <row r="208">
      <c r="A208" s="3">
        <v>2005.0</v>
      </c>
      <c r="B208" s="3" t="s">
        <v>45</v>
      </c>
      <c r="C208" s="3">
        <v>0.0</v>
      </c>
    </row>
    <row r="209">
      <c r="A209" s="3">
        <v>2005.0</v>
      </c>
      <c r="B209" s="3" t="s">
        <v>16</v>
      </c>
      <c r="C209" s="3">
        <v>0.0</v>
      </c>
    </row>
    <row r="210">
      <c r="A210" s="3">
        <v>2005.0</v>
      </c>
      <c r="B210" s="3" t="s">
        <v>46</v>
      </c>
      <c r="C210" s="3">
        <v>1.0</v>
      </c>
    </row>
    <row r="211">
      <c r="A211" s="3">
        <v>2005.0</v>
      </c>
      <c r="B211" s="3" t="s">
        <v>4</v>
      </c>
      <c r="C211" s="3">
        <v>90.0</v>
      </c>
    </row>
    <row r="212">
      <c r="A212" s="3">
        <v>2006.0</v>
      </c>
      <c r="B212" s="3" t="s">
        <v>41</v>
      </c>
      <c r="C212" s="3">
        <v>55.0</v>
      </c>
    </row>
    <row r="213">
      <c r="A213" s="3">
        <v>2006.0</v>
      </c>
      <c r="B213" s="3" t="s">
        <v>13</v>
      </c>
      <c r="C213" s="3">
        <v>5.0</v>
      </c>
    </row>
    <row r="214">
      <c r="A214" s="3">
        <v>2006.0</v>
      </c>
      <c r="B214" s="3" t="s">
        <v>42</v>
      </c>
      <c r="C214" s="3">
        <v>2.0</v>
      </c>
    </row>
    <row r="215">
      <c r="A215" s="3">
        <v>2006.0</v>
      </c>
      <c r="B215" s="3" t="s">
        <v>12</v>
      </c>
      <c r="C215" s="3">
        <v>26.0</v>
      </c>
    </row>
    <row r="216">
      <c r="A216" s="3">
        <v>2006.0</v>
      </c>
      <c r="B216" s="3" t="s">
        <v>43</v>
      </c>
      <c r="C216" s="3">
        <v>0.0</v>
      </c>
    </row>
    <row r="217">
      <c r="A217" s="3">
        <v>2006.0</v>
      </c>
      <c r="B217" s="3" t="s">
        <v>44</v>
      </c>
      <c r="C217" s="3">
        <v>0.0</v>
      </c>
    </row>
    <row r="218">
      <c r="A218" s="3">
        <v>2006.0</v>
      </c>
      <c r="B218" s="3" t="s">
        <v>45</v>
      </c>
      <c r="C218" s="3">
        <v>0.0</v>
      </c>
    </row>
    <row r="219">
      <c r="A219" s="3">
        <v>2006.0</v>
      </c>
      <c r="B219" s="3" t="s">
        <v>16</v>
      </c>
      <c r="C219" s="3">
        <v>0.0</v>
      </c>
    </row>
    <row r="220">
      <c r="A220" s="3">
        <v>2006.0</v>
      </c>
      <c r="B220" s="3" t="s">
        <v>46</v>
      </c>
      <c r="C220" s="3">
        <v>3.0</v>
      </c>
    </row>
    <row r="221">
      <c r="A221" s="3">
        <v>2006.0</v>
      </c>
      <c r="B221" s="3" t="s">
        <v>4</v>
      </c>
      <c r="C221" s="3">
        <v>91.0</v>
      </c>
    </row>
    <row r="222">
      <c r="A222" s="3">
        <v>2007.0</v>
      </c>
      <c r="B222" s="3" t="s">
        <v>41</v>
      </c>
      <c r="C222" s="3">
        <v>75.0</v>
      </c>
    </row>
    <row r="223">
      <c r="A223" s="3">
        <v>2007.0</v>
      </c>
      <c r="B223" s="3" t="s">
        <v>13</v>
      </c>
      <c r="C223" s="3">
        <v>12.0</v>
      </c>
    </row>
    <row r="224">
      <c r="A224" s="3">
        <v>2007.0</v>
      </c>
      <c r="B224" s="3" t="s">
        <v>42</v>
      </c>
      <c r="C224" s="3">
        <v>5.0</v>
      </c>
    </row>
    <row r="225">
      <c r="A225" s="3">
        <v>2007.0</v>
      </c>
      <c r="B225" s="3" t="s">
        <v>12</v>
      </c>
      <c r="C225" s="3">
        <v>28.0</v>
      </c>
    </row>
    <row r="226">
      <c r="A226" s="3">
        <v>2007.0</v>
      </c>
      <c r="B226" s="3" t="s">
        <v>43</v>
      </c>
      <c r="C226" s="3">
        <v>0.0</v>
      </c>
    </row>
    <row r="227">
      <c r="A227" s="3">
        <v>2007.0</v>
      </c>
      <c r="B227" s="3" t="s">
        <v>44</v>
      </c>
      <c r="C227" s="3">
        <v>0.0</v>
      </c>
    </row>
    <row r="228">
      <c r="A228" s="3">
        <v>2007.0</v>
      </c>
      <c r="B228" s="3" t="s">
        <v>45</v>
      </c>
      <c r="C228" s="3">
        <v>0.0</v>
      </c>
    </row>
    <row r="229">
      <c r="A229" s="3">
        <v>2007.0</v>
      </c>
      <c r="B229" s="3" t="s">
        <v>16</v>
      </c>
      <c r="C229" s="3">
        <v>0.0</v>
      </c>
    </row>
    <row r="230">
      <c r="A230" s="3">
        <v>2007.0</v>
      </c>
      <c r="B230" s="3" t="s">
        <v>46</v>
      </c>
      <c r="C230" s="3">
        <v>1.0</v>
      </c>
    </row>
    <row r="231">
      <c r="A231" s="3">
        <v>2007.0</v>
      </c>
      <c r="B231" s="3" t="s">
        <v>4</v>
      </c>
      <c r="C231" s="3">
        <v>121.0</v>
      </c>
    </row>
    <row r="232">
      <c r="A232" s="3">
        <v>2008.0</v>
      </c>
      <c r="B232" s="3" t="s">
        <v>41</v>
      </c>
      <c r="C232" s="3">
        <v>91.0</v>
      </c>
    </row>
    <row r="233">
      <c r="A233" s="3">
        <v>2008.0</v>
      </c>
      <c r="B233" s="3" t="s">
        <v>13</v>
      </c>
      <c r="C233" s="3">
        <v>9.0</v>
      </c>
    </row>
    <row r="234">
      <c r="A234" s="3">
        <v>2008.0</v>
      </c>
      <c r="B234" s="3" t="s">
        <v>42</v>
      </c>
      <c r="C234" s="3">
        <v>4.0</v>
      </c>
    </row>
    <row r="235">
      <c r="A235" s="3">
        <v>2008.0</v>
      </c>
      <c r="B235" s="3" t="s">
        <v>12</v>
      </c>
      <c r="C235" s="3">
        <v>42.0</v>
      </c>
    </row>
    <row r="236">
      <c r="A236" s="3">
        <v>2008.0</v>
      </c>
      <c r="B236" s="3" t="s">
        <v>43</v>
      </c>
      <c r="C236" s="3">
        <v>0.0</v>
      </c>
    </row>
    <row r="237">
      <c r="A237" s="3">
        <v>2008.0</v>
      </c>
      <c r="B237" s="3" t="s">
        <v>44</v>
      </c>
      <c r="C237" s="3">
        <v>0.0</v>
      </c>
    </row>
    <row r="238">
      <c r="A238" s="3">
        <v>2008.0</v>
      </c>
      <c r="B238" s="3" t="s">
        <v>45</v>
      </c>
      <c r="C238" s="3">
        <v>0.0</v>
      </c>
    </row>
    <row r="239">
      <c r="A239" s="3">
        <v>2008.0</v>
      </c>
      <c r="B239" s="3" t="s">
        <v>16</v>
      </c>
      <c r="C239" s="3">
        <v>0.0</v>
      </c>
    </row>
    <row r="240">
      <c r="A240" s="3">
        <v>2008.0</v>
      </c>
      <c r="B240" s="3" t="s">
        <v>46</v>
      </c>
      <c r="C240" s="3">
        <v>2.0</v>
      </c>
    </row>
    <row r="241">
      <c r="A241" s="3">
        <v>2008.0</v>
      </c>
      <c r="B241" s="3" t="s">
        <v>4</v>
      </c>
      <c r="C241" s="3">
        <v>148.0</v>
      </c>
    </row>
    <row r="242">
      <c r="A242" s="3">
        <v>2009.0</v>
      </c>
      <c r="B242" s="3" t="s">
        <v>41</v>
      </c>
      <c r="C242" s="3">
        <v>104.0</v>
      </c>
    </row>
    <row r="243">
      <c r="A243" s="3">
        <v>2009.0</v>
      </c>
      <c r="B243" s="3" t="s">
        <v>13</v>
      </c>
      <c r="C243" s="3">
        <v>4.0</v>
      </c>
    </row>
    <row r="244">
      <c r="A244" s="3">
        <v>2009.0</v>
      </c>
      <c r="B244" s="3" t="s">
        <v>42</v>
      </c>
      <c r="C244" s="3">
        <v>3.0</v>
      </c>
    </row>
    <row r="245">
      <c r="A245" s="3">
        <v>2009.0</v>
      </c>
      <c r="B245" s="3" t="s">
        <v>12</v>
      </c>
      <c r="C245" s="3">
        <v>43.0</v>
      </c>
    </row>
    <row r="246">
      <c r="A246" s="3">
        <v>2009.0</v>
      </c>
      <c r="B246" s="3" t="s">
        <v>43</v>
      </c>
      <c r="C246" s="3">
        <v>0.0</v>
      </c>
    </row>
    <row r="247">
      <c r="A247" s="3">
        <v>2009.0</v>
      </c>
      <c r="B247" s="3" t="s">
        <v>44</v>
      </c>
      <c r="C247" s="3">
        <v>0.0</v>
      </c>
    </row>
    <row r="248">
      <c r="A248" s="3">
        <v>2009.0</v>
      </c>
      <c r="B248" s="3" t="s">
        <v>45</v>
      </c>
      <c r="C248" s="3">
        <v>0.0</v>
      </c>
    </row>
    <row r="249">
      <c r="A249" s="3">
        <v>2009.0</v>
      </c>
      <c r="B249" s="3" t="s">
        <v>16</v>
      </c>
      <c r="C249" s="3">
        <v>0.0</v>
      </c>
    </row>
    <row r="250">
      <c r="A250" s="3">
        <v>2009.0</v>
      </c>
      <c r="B250" s="3" t="s">
        <v>46</v>
      </c>
      <c r="C250" s="3">
        <v>2.0</v>
      </c>
    </row>
    <row r="251">
      <c r="A251" s="3">
        <v>2009.0</v>
      </c>
      <c r="B251" s="3" t="s">
        <v>4</v>
      </c>
      <c r="C251" s="3">
        <v>156.0</v>
      </c>
    </row>
    <row r="252">
      <c r="A252" s="3">
        <v>2010.0</v>
      </c>
      <c r="B252" s="3" t="s">
        <v>41</v>
      </c>
      <c r="C252" s="3">
        <v>130.0</v>
      </c>
    </row>
    <row r="253">
      <c r="A253" s="3">
        <v>2010.0</v>
      </c>
      <c r="B253" s="3" t="s">
        <v>13</v>
      </c>
      <c r="C253" s="3">
        <v>4.0</v>
      </c>
    </row>
    <row r="254">
      <c r="A254" s="3">
        <v>2010.0</v>
      </c>
      <c r="B254" s="3" t="s">
        <v>42</v>
      </c>
      <c r="C254" s="3">
        <v>3.0</v>
      </c>
    </row>
    <row r="255">
      <c r="A255" s="3">
        <v>2010.0</v>
      </c>
      <c r="B255" s="3" t="s">
        <v>12</v>
      </c>
      <c r="C255" s="3">
        <v>39.0</v>
      </c>
    </row>
    <row r="256">
      <c r="A256" s="3">
        <v>2010.0</v>
      </c>
      <c r="B256" s="3" t="s">
        <v>43</v>
      </c>
      <c r="C256" s="3">
        <v>0.0</v>
      </c>
    </row>
    <row r="257">
      <c r="A257" s="3">
        <v>2010.0</v>
      </c>
      <c r="B257" s="3" t="s">
        <v>44</v>
      </c>
      <c r="C257" s="3">
        <v>0.0</v>
      </c>
    </row>
    <row r="258">
      <c r="A258" s="3">
        <v>2010.0</v>
      </c>
      <c r="B258" s="3" t="s">
        <v>45</v>
      </c>
      <c r="C258" s="3">
        <v>0.0</v>
      </c>
    </row>
    <row r="259">
      <c r="A259" s="3">
        <v>2010.0</v>
      </c>
      <c r="B259" s="3" t="s">
        <v>16</v>
      </c>
      <c r="C259" s="3">
        <v>0.0</v>
      </c>
    </row>
    <row r="260">
      <c r="A260" s="3">
        <v>2010.0</v>
      </c>
      <c r="B260" s="3" t="s">
        <v>46</v>
      </c>
      <c r="C260" s="3">
        <v>4.0</v>
      </c>
    </row>
    <row r="261">
      <c r="A261" s="3">
        <v>2010.0</v>
      </c>
      <c r="B261" s="3" t="s">
        <v>4</v>
      </c>
      <c r="C261" s="3">
        <v>180.0</v>
      </c>
    </row>
    <row r="262">
      <c r="A262" s="3">
        <v>2011.0</v>
      </c>
      <c r="B262" s="3" t="s">
        <v>41</v>
      </c>
      <c r="C262" s="3">
        <v>110.0</v>
      </c>
    </row>
    <row r="263">
      <c r="A263" s="3">
        <v>2011.0</v>
      </c>
      <c r="B263" s="3" t="s">
        <v>13</v>
      </c>
      <c r="C263" s="3">
        <v>6.0</v>
      </c>
    </row>
    <row r="264">
      <c r="A264" s="3">
        <v>2011.0</v>
      </c>
      <c r="B264" s="3" t="s">
        <v>42</v>
      </c>
      <c r="C264" s="3">
        <v>6.0</v>
      </c>
    </row>
    <row r="265">
      <c r="A265" s="3">
        <v>2011.0</v>
      </c>
      <c r="B265" s="3" t="s">
        <v>12</v>
      </c>
      <c r="C265" s="3">
        <v>26.0</v>
      </c>
    </row>
    <row r="266">
      <c r="A266" s="3">
        <v>2011.0</v>
      </c>
      <c r="B266" s="3" t="s">
        <v>43</v>
      </c>
      <c r="C266" s="3">
        <v>0.0</v>
      </c>
    </row>
    <row r="267">
      <c r="A267" s="3">
        <v>2011.0</v>
      </c>
      <c r="B267" s="3" t="s">
        <v>44</v>
      </c>
      <c r="C267" s="3">
        <v>0.0</v>
      </c>
    </row>
    <row r="268">
      <c r="A268" s="3">
        <v>2011.0</v>
      </c>
      <c r="B268" s="3" t="s">
        <v>45</v>
      </c>
      <c r="C268" s="3">
        <v>0.0</v>
      </c>
    </row>
    <row r="269">
      <c r="A269" s="3">
        <v>2011.0</v>
      </c>
      <c r="B269" s="3" t="s">
        <v>16</v>
      </c>
      <c r="C269" s="3">
        <v>1.0</v>
      </c>
    </row>
    <row r="270">
      <c r="A270" s="3">
        <v>2011.0</v>
      </c>
      <c r="B270" s="3" t="s">
        <v>46</v>
      </c>
      <c r="C270" s="3">
        <v>4.0</v>
      </c>
    </row>
    <row r="271">
      <c r="A271" s="3">
        <v>2011.0</v>
      </c>
      <c r="B271" s="3" t="s">
        <v>4</v>
      </c>
      <c r="C271" s="3">
        <v>153.0</v>
      </c>
    </row>
    <row r="272">
      <c r="A272" s="3">
        <v>2012.0</v>
      </c>
      <c r="B272" s="3" t="s">
        <v>41</v>
      </c>
      <c r="C272" s="3">
        <v>152.0</v>
      </c>
    </row>
    <row r="273">
      <c r="A273" s="3">
        <v>2012.0</v>
      </c>
      <c r="B273" s="3" t="s">
        <v>13</v>
      </c>
      <c r="C273" s="3">
        <v>5.0</v>
      </c>
    </row>
    <row r="274">
      <c r="A274" s="3">
        <v>2012.0</v>
      </c>
      <c r="B274" s="3" t="s">
        <v>42</v>
      </c>
      <c r="C274" s="3">
        <v>5.0</v>
      </c>
    </row>
    <row r="275">
      <c r="A275" s="3">
        <v>2012.0</v>
      </c>
      <c r="B275" s="3" t="s">
        <v>12</v>
      </c>
      <c r="C275" s="3">
        <v>41.0</v>
      </c>
    </row>
    <row r="276">
      <c r="A276" s="3">
        <v>2012.0</v>
      </c>
      <c r="B276" s="3" t="s">
        <v>43</v>
      </c>
      <c r="C276" s="3">
        <v>0.0</v>
      </c>
    </row>
    <row r="277">
      <c r="A277" s="3">
        <v>2012.0</v>
      </c>
      <c r="B277" s="3" t="s">
        <v>44</v>
      </c>
      <c r="C277" s="3">
        <v>0.0</v>
      </c>
    </row>
    <row r="278">
      <c r="A278" s="3">
        <v>2012.0</v>
      </c>
      <c r="B278" s="3" t="s">
        <v>45</v>
      </c>
      <c r="C278" s="3">
        <v>2.0</v>
      </c>
    </row>
    <row r="279">
      <c r="A279" s="3">
        <v>2012.0</v>
      </c>
      <c r="B279" s="3" t="s">
        <v>16</v>
      </c>
      <c r="C279" s="3">
        <v>1.0</v>
      </c>
    </row>
    <row r="280">
      <c r="A280" s="3">
        <v>2012.0</v>
      </c>
      <c r="B280" s="3" t="s">
        <v>46</v>
      </c>
      <c r="C280" s="3">
        <v>6.0</v>
      </c>
    </row>
    <row r="281">
      <c r="A281" s="3">
        <v>2012.0</v>
      </c>
      <c r="B281" s="3" t="s">
        <v>4</v>
      </c>
      <c r="C281" s="3">
        <v>212.0</v>
      </c>
    </row>
    <row r="282">
      <c r="A282" s="3">
        <v>2013.0</v>
      </c>
      <c r="B282" s="3" t="s">
        <v>41</v>
      </c>
      <c r="C282" s="3">
        <v>176.0</v>
      </c>
    </row>
    <row r="283">
      <c r="A283" s="3">
        <v>2013.0</v>
      </c>
      <c r="B283" s="3" t="s">
        <v>13</v>
      </c>
      <c r="C283" s="3">
        <v>6.0</v>
      </c>
    </row>
    <row r="284">
      <c r="A284" s="3">
        <v>2013.0</v>
      </c>
      <c r="B284" s="3" t="s">
        <v>42</v>
      </c>
      <c r="C284" s="3">
        <v>4.0</v>
      </c>
    </row>
    <row r="285">
      <c r="A285" s="3">
        <v>2013.0</v>
      </c>
      <c r="B285" s="3" t="s">
        <v>12</v>
      </c>
      <c r="C285" s="3">
        <v>45.0</v>
      </c>
    </row>
    <row r="286">
      <c r="A286" s="3">
        <v>2013.0</v>
      </c>
      <c r="B286" s="3" t="s">
        <v>43</v>
      </c>
      <c r="C286" s="3">
        <v>0.0</v>
      </c>
    </row>
    <row r="287">
      <c r="A287" s="3">
        <v>2013.0</v>
      </c>
      <c r="B287" s="3" t="s">
        <v>44</v>
      </c>
      <c r="C287" s="3">
        <v>0.0</v>
      </c>
    </row>
    <row r="288">
      <c r="A288" s="3">
        <v>2013.0</v>
      </c>
      <c r="B288" s="3" t="s">
        <v>45</v>
      </c>
      <c r="C288" s="3">
        <v>0.0</v>
      </c>
    </row>
    <row r="289">
      <c r="A289" s="3">
        <v>2013.0</v>
      </c>
      <c r="B289" s="3" t="s">
        <v>16</v>
      </c>
      <c r="C289" s="3">
        <v>0.0</v>
      </c>
    </row>
    <row r="290">
      <c r="A290" s="3">
        <v>2013.0</v>
      </c>
      <c r="B290" s="3" t="s">
        <v>46</v>
      </c>
      <c r="C290" s="3">
        <v>4.0</v>
      </c>
    </row>
    <row r="291">
      <c r="A291" s="3">
        <v>2013.0</v>
      </c>
      <c r="B291" s="3" t="s">
        <v>4</v>
      </c>
      <c r="C291" s="3">
        <v>235.0</v>
      </c>
    </row>
    <row r="292">
      <c r="A292" s="3">
        <v>2014.0</v>
      </c>
      <c r="B292" s="3" t="s">
        <v>41</v>
      </c>
      <c r="C292" s="3">
        <v>166.0</v>
      </c>
    </row>
    <row r="293">
      <c r="A293" s="3">
        <v>2014.0</v>
      </c>
      <c r="B293" s="3" t="s">
        <v>13</v>
      </c>
      <c r="C293" s="3">
        <v>9.0</v>
      </c>
    </row>
    <row r="294">
      <c r="A294" s="3">
        <v>2014.0</v>
      </c>
      <c r="B294" s="3" t="s">
        <v>42</v>
      </c>
      <c r="C294" s="3">
        <v>6.0</v>
      </c>
    </row>
    <row r="295">
      <c r="A295" s="3">
        <v>2014.0</v>
      </c>
      <c r="B295" s="3" t="s">
        <v>12</v>
      </c>
      <c r="C295" s="3">
        <v>45.0</v>
      </c>
    </row>
    <row r="296">
      <c r="A296" s="3">
        <v>2014.0</v>
      </c>
      <c r="B296" s="3" t="s">
        <v>43</v>
      </c>
      <c r="C296" s="3">
        <v>0.0</v>
      </c>
    </row>
    <row r="297">
      <c r="A297" s="3">
        <v>2014.0</v>
      </c>
      <c r="B297" s="3" t="s">
        <v>44</v>
      </c>
      <c r="C297" s="3">
        <v>0.0</v>
      </c>
    </row>
    <row r="298">
      <c r="A298" s="3">
        <v>2014.0</v>
      </c>
      <c r="B298" s="3" t="s">
        <v>45</v>
      </c>
      <c r="C298" s="3">
        <v>1.0</v>
      </c>
    </row>
    <row r="299">
      <c r="A299" s="3">
        <v>2014.0</v>
      </c>
      <c r="B299" s="3" t="s">
        <v>16</v>
      </c>
      <c r="C299" s="3">
        <v>0.0</v>
      </c>
    </row>
    <row r="300">
      <c r="A300" s="3">
        <v>2014.0</v>
      </c>
      <c r="B300" s="3" t="s">
        <v>46</v>
      </c>
      <c r="C300" s="3">
        <v>5.0</v>
      </c>
    </row>
    <row r="301">
      <c r="A301" s="3">
        <v>2014.0</v>
      </c>
      <c r="B301" s="3" t="s">
        <v>4</v>
      </c>
      <c r="C301" s="3">
        <v>232.0</v>
      </c>
    </row>
    <row r="302">
      <c r="A302" s="3">
        <v>2015.0</v>
      </c>
      <c r="B302" s="3" t="s">
        <v>41</v>
      </c>
      <c r="C302" s="3">
        <v>205.0</v>
      </c>
    </row>
    <row r="303">
      <c r="A303" s="3">
        <v>2015.0</v>
      </c>
      <c r="B303" s="3" t="s">
        <v>13</v>
      </c>
      <c r="C303" s="3">
        <v>4.0</v>
      </c>
    </row>
    <row r="304">
      <c r="A304" s="3">
        <v>2015.0</v>
      </c>
      <c r="B304" s="3" t="s">
        <v>42</v>
      </c>
      <c r="C304" s="3">
        <v>7.0</v>
      </c>
    </row>
    <row r="305">
      <c r="A305" s="3">
        <v>2015.0</v>
      </c>
      <c r="B305" s="3" t="s">
        <v>12</v>
      </c>
      <c r="C305" s="3">
        <v>46.0</v>
      </c>
    </row>
    <row r="306">
      <c r="A306" s="3">
        <v>2015.0</v>
      </c>
      <c r="B306" s="3" t="s">
        <v>43</v>
      </c>
      <c r="C306" s="3">
        <v>0.0</v>
      </c>
    </row>
    <row r="307">
      <c r="A307" s="3">
        <v>2015.0</v>
      </c>
      <c r="B307" s="3" t="s">
        <v>44</v>
      </c>
      <c r="C307" s="3">
        <v>0.0</v>
      </c>
    </row>
    <row r="308">
      <c r="A308" s="3">
        <v>2015.0</v>
      </c>
      <c r="B308" s="3" t="s">
        <v>45</v>
      </c>
      <c r="C308" s="3">
        <v>0.0</v>
      </c>
    </row>
    <row r="309">
      <c r="A309" s="3">
        <v>2015.0</v>
      </c>
      <c r="B309" s="3" t="s">
        <v>16</v>
      </c>
      <c r="C309" s="3">
        <v>0.0</v>
      </c>
    </row>
    <row r="310">
      <c r="A310" s="3">
        <v>2015.0</v>
      </c>
      <c r="B310" s="3" t="s">
        <v>46</v>
      </c>
      <c r="C310" s="3">
        <v>4.0</v>
      </c>
    </row>
    <row r="311">
      <c r="A311" s="3">
        <v>2015.0</v>
      </c>
      <c r="B311" s="3" t="s">
        <v>4</v>
      </c>
      <c r="C311" s="3">
        <v>266.0</v>
      </c>
    </row>
    <row r="312">
      <c r="A312" s="3">
        <v>2016.0</v>
      </c>
      <c r="B312" s="3" t="s">
        <v>41</v>
      </c>
      <c r="C312" s="3">
        <v>209.0</v>
      </c>
    </row>
    <row r="313">
      <c r="A313" s="3">
        <v>2016.0</v>
      </c>
      <c r="B313" s="3" t="s">
        <v>13</v>
      </c>
      <c r="C313" s="3">
        <v>7.0</v>
      </c>
    </row>
    <row r="314">
      <c r="A314" s="3">
        <v>2016.0</v>
      </c>
      <c r="B314" s="3" t="s">
        <v>42</v>
      </c>
      <c r="C314" s="3">
        <v>4.0</v>
      </c>
    </row>
    <row r="315">
      <c r="A315" s="3">
        <v>2016.0</v>
      </c>
      <c r="B315" s="3" t="s">
        <v>12</v>
      </c>
      <c r="C315" s="3">
        <v>54.0</v>
      </c>
    </row>
    <row r="316">
      <c r="A316" s="3">
        <v>2016.0</v>
      </c>
      <c r="B316" s="3" t="s">
        <v>43</v>
      </c>
      <c r="C316" s="3">
        <v>0.0</v>
      </c>
    </row>
    <row r="317">
      <c r="A317" s="3">
        <v>2016.0</v>
      </c>
      <c r="B317" s="3" t="s">
        <v>44</v>
      </c>
      <c r="C317" s="3">
        <v>0.0</v>
      </c>
    </row>
    <row r="318">
      <c r="A318" s="3">
        <v>2016.0</v>
      </c>
      <c r="B318" s="3" t="s">
        <v>45</v>
      </c>
      <c r="C318" s="3">
        <v>2.0</v>
      </c>
    </row>
    <row r="319">
      <c r="A319" s="3">
        <v>2016.0</v>
      </c>
      <c r="B319" s="3" t="s">
        <v>16</v>
      </c>
      <c r="C319" s="3">
        <v>1.0</v>
      </c>
    </row>
    <row r="320">
      <c r="A320" s="3">
        <v>2016.0</v>
      </c>
      <c r="B320" s="3" t="s">
        <v>46</v>
      </c>
      <c r="C320" s="3">
        <v>9.0</v>
      </c>
    </row>
    <row r="321">
      <c r="A321" s="3">
        <v>2016.0</v>
      </c>
      <c r="B321" s="3" t="s">
        <v>4</v>
      </c>
      <c r="C321" s="3">
        <v>286.0</v>
      </c>
    </row>
    <row r="322">
      <c r="A322" s="3">
        <v>2017.0</v>
      </c>
      <c r="B322" s="3" t="s">
        <v>41</v>
      </c>
      <c r="C322" s="3">
        <v>179.0</v>
      </c>
    </row>
    <row r="323">
      <c r="A323" s="3">
        <v>2017.0</v>
      </c>
      <c r="B323" s="3" t="s">
        <v>13</v>
      </c>
      <c r="C323" s="3">
        <v>5.0</v>
      </c>
    </row>
    <row r="324">
      <c r="A324" s="3">
        <v>2017.0</v>
      </c>
      <c r="B324" s="3" t="s">
        <v>42</v>
      </c>
      <c r="C324" s="3">
        <v>3.0</v>
      </c>
    </row>
    <row r="325">
      <c r="A325" s="3">
        <v>2017.0</v>
      </c>
      <c r="B325" s="3" t="s">
        <v>12</v>
      </c>
      <c r="C325" s="3">
        <v>59.0</v>
      </c>
    </row>
    <row r="326">
      <c r="A326" s="3">
        <v>2017.0</v>
      </c>
      <c r="B326" s="3" t="s">
        <v>43</v>
      </c>
      <c r="C326" s="3">
        <v>0.0</v>
      </c>
    </row>
    <row r="327">
      <c r="A327" s="3">
        <v>2017.0</v>
      </c>
      <c r="B327" s="3" t="s">
        <v>44</v>
      </c>
      <c r="C327" s="3">
        <v>1.0</v>
      </c>
    </row>
    <row r="328">
      <c r="A328" s="3">
        <v>2017.0</v>
      </c>
      <c r="B328" s="3" t="s">
        <v>45</v>
      </c>
      <c r="C328" s="3">
        <v>0.0</v>
      </c>
    </row>
    <row r="329">
      <c r="A329" s="3">
        <v>2017.0</v>
      </c>
      <c r="B329" s="3" t="s">
        <v>16</v>
      </c>
      <c r="C329" s="3">
        <v>2.0</v>
      </c>
    </row>
    <row r="330">
      <c r="A330" s="3">
        <v>2017.0</v>
      </c>
      <c r="B330" s="3" t="s">
        <v>46</v>
      </c>
      <c r="C330" s="3">
        <v>5.0</v>
      </c>
    </row>
    <row r="331">
      <c r="A331" s="3">
        <v>2017.0</v>
      </c>
      <c r="B331" s="3" t="s">
        <v>4</v>
      </c>
      <c r="C331" s="3">
        <v>254.0</v>
      </c>
    </row>
    <row r="332">
      <c r="A332" s="3">
        <v>2018.0</v>
      </c>
      <c r="B332" s="3" t="s">
        <v>41</v>
      </c>
      <c r="C332" s="3">
        <v>134.0</v>
      </c>
    </row>
    <row r="333">
      <c r="A333" s="3">
        <v>2018.0</v>
      </c>
      <c r="B333" s="3" t="s">
        <v>13</v>
      </c>
      <c r="C333" s="3">
        <v>7.0</v>
      </c>
    </row>
    <row r="334">
      <c r="A334" s="3">
        <v>2018.0</v>
      </c>
      <c r="B334" s="3" t="s">
        <v>42</v>
      </c>
      <c r="C334" s="3">
        <v>4.0</v>
      </c>
    </row>
    <row r="335">
      <c r="A335" s="3">
        <v>2018.0</v>
      </c>
      <c r="B335" s="3" t="s">
        <v>12</v>
      </c>
      <c r="C335" s="3">
        <v>56.0</v>
      </c>
    </row>
    <row r="336">
      <c r="A336" s="3">
        <v>2018.0</v>
      </c>
      <c r="B336" s="3" t="s">
        <v>43</v>
      </c>
      <c r="C336" s="3">
        <v>0.0</v>
      </c>
    </row>
    <row r="337">
      <c r="A337" s="3">
        <v>2018.0</v>
      </c>
      <c r="B337" s="3" t="s">
        <v>44</v>
      </c>
      <c r="C337" s="3">
        <v>0.0</v>
      </c>
    </row>
    <row r="338">
      <c r="A338" s="3">
        <v>2018.0</v>
      </c>
      <c r="B338" s="3" t="s">
        <v>45</v>
      </c>
      <c r="C338" s="3">
        <v>0.0</v>
      </c>
    </row>
    <row r="339">
      <c r="A339" s="3">
        <v>2018.0</v>
      </c>
      <c r="B339" s="3" t="s">
        <v>16</v>
      </c>
      <c r="C339" s="3">
        <v>1.0</v>
      </c>
    </row>
    <row r="340">
      <c r="A340" s="3">
        <v>2018.0</v>
      </c>
      <c r="B340" s="3" t="s">
        <v>46</v>
      </c>
      <c r="C340" s="3">
        <v>6.0</v>
      </c>
    </row>
    <row r="341">
      <c r="A341" s="3">
        <v>2018.0</v>
      </c>
      <c r="B341" s="3" t="s">
        <v>4</v>
      </c>
      <c r="C341" s="3">
        <v>208.0</v>
      </c>
    </row>
    <row r="342">
      <c r="A342" s="3">
        <v>2019.0</v>
      </c>
      <c r="B342" s="3" t="s">
        <v>41</v>
      </c>
      <c r="C342" s="3">
        <v>149.0</v>
      </c>
    </row>
    <row r="343">
      <c r="A343" s="3">
        <v>2019.0</v>
      </c>
      <c r="B343" s="3" t="s">
        <v>13</v>
      </c>
      <c r="C343" s="3">
        <v>8.0</v>
      </c>
    </row>
    <row r="344">
      <c r="A344" s="3">
        <v>2019.0</v>
      </c>
      <c r="B344" s="3" t="s">
        <v>42</v>
      </c>
      <c r="C344" s="3">
        <v>2.0</v>
      </c>
    </row>
    <row r="345">
      <c r="A345" s="3">
        <v>2019.0</v>
      </c>
      <c r="B345" s="3" t="s">
        <v>12</v>
      </c>
      <c r="C345" s="3">
        <v>56.0</v>
      </c>
    </row>
    <row r="346">
      <c r="A346" s="3">
        <v>2019.0</v>
      </c>
      <c r="B346" s="3" t="s">
        <v>43</v>
      </c>
      <c r="C346" s="3">
        <v>0.0</v>
      </c>
    </row>
    <row r="347">
      <c r="A347" s="3">
        <v>2019.0</v>
      </c>
      <c r="B347" s="3" t="s">
        <v>44</v>
      </c>
      <c r="C347" s="3">
        <v>1.0</v>
      </c>
    </row>
    <row r="348">
      <c r="A348" s="3">
        <v>2019.0</v>
      </c>
      <c r="B348" s="3" t="s">
        <v>45</v>
      </c>
      <c r="C348" s="3">
        <v>0.0</v>
      </c>
    </row>
    <row r="349">
      <c r="A349" s="3">
        <v>2019.0</v>
      </c>
      <c r="B349" s="3" t="s">
        <v>16</v>
      </c>
      <c r="C349" s="3">
        <v>1.0</v>
      </c>
    </row>
    <row r="350">
      <c r="A350" s="3">
        <v>2019.0</v>
      </c>
      <c r="B350" s="3" t="s">
        <v>46</v>
      </c>
      <c r="C350" s="3">
        <v>5.0</v>
      </c>
    </row>
    <row r="351">
      <c r="A351" s="3">
        <v>2019.0</v>
      </c>
      <c r="B351" s="3" t="s">
        <v>4</v>
      </c>
      <c r="C351" s="3">
        <v>222.0</v>
      </c>
    </row>
    <row r="352">
      <c r="A352" s="3">
        <v>2020.0</v>
      </c>
      <c r="B352" s="3" t="s">
        <v>41</v>
      </c>
      <c r="C352" s="3">
        <v>144.0</v>
      </c>
    </row>
    <row r="353">
      <c r="A353" s="3">
        <v>2020.0</v>
      </c>
      <c r="B353" s="3" t="s">
        <v>13</v>
      </c>
      <c r="C353" s="3">
        <v>14.0</v>
      </c>
    </row>
    <row r="354">
      <c r="A354" s="3">
        <v>2020.0</v>
      </c>
      <c r="B354" s="3" t="s">
        <v>42</v>
      </c>
      <c r="C354" s="3">
        <v>1.0</v>
      </c>
    </row>
    <row r="355">
      <c r="A355" s="3">
        <v>2020.0</v>
      </c>
      <c r="B355" s="3" t="s">
        <v>12</v>
      </c>
      <c r="C355" s="3">
        <v>82.0</v>
      </c>
    </row>
    <row r="356">
      <c r="A356" s="3">
        <v>2020.0</v>
      </c>
      <c r="B356" s="3" t="s">
        <v>43</v>
      </c>
      <c r="C356" s="3">
        <v>0.0</v>
      </c>
    </row>
    <row r="357">
      <c r="A357" s="3">
        <v>2020.0</v>
      </c>
      <c r="B357" s="3" t="s">
        <v>44</v>
      </c>
      <c r="C357" s="3">
        <v>0.0</v>
      </c>
    </row>
    <row r="358">
      <c r="A358" s="3">
        <v>2020.0</v>
      </c>
      <c r="B358" s="3" t="s">
        <v>45</v>
      </c>
      <c r="C358" s="3">
        <v>0.0</v>
      </c>
    </row>
    <row r="359">
      <c r="A359" s="3">
        <v>2020.0</v>
      </c>
      <c r="B359" s="3" t="s">
        <v>16</v>
      </c>
      <c r="C359" s="3">
        <v>1.0</v>
      </c>
    </row>
    <row r="360">
      <c r="A360" s="3">
        <v>2020.0</v>
      </c>
      <c r="B360" s="3" t="s">
        <v>46</v>
      </c>
      <c r="C360" s="3">
        <v>9.0</v>
      </c>
    </row>
    <row r="361">
      <c r="A361" s="3">
        <v>2020.0</v>
      </c>
      <c r="B361" s="3" t="s">
        <v>4</v>
      </c>
      <c r="C361" s="3">
        <v>251.0</v>
      </c>
    </row>
    <row r="362">
      <c r="A362" s="1">
        <v>2021.0</v>
      </c>
      <c r="B362" s="3" t="s">
        <v>41</v>
      </c>
      <c r="C362" s="1">
        <v>140.0</v>
      </c>
    </row>
    <row r="363">
      <c r="A363" s="1">
        <v>2021.0</v>
      </c>
      <c r="B363" s="3" t="s">
        <v>13</v>
      </c>
      <c r="C363" s="1">
        <v>7.0</v>
      </c>
    </row>
    <row r="364">
      <c r="A364" s="1">
        <v>2021.0</v>
      </c>
      <c r="B364" s="3" t="s">
        <v>42</v>
      </c>
      <c r="C364" s="1">
        <v>3.0</v>
      </c>
    </row>
    <row r="365">
      <c r="A365" s="1">
        <v>2021.0</v>
      </c>
      <c r="B365" s="3" t="s">
        <v>12</v>
      </c>
      <c r="C365" s="1">
        <v>70.0</v>
      </c>
    </row>
    <row r="366">
      <c r="A366" s="1">
        <v>2021.0</v>
      </c>
      <c r="B366" s="3" t="s">
        <v>43</v>
      </c>
      <c r="C366" s="1">
        <v>0.0</v>
      </c>
    </row>
    <row r="367">
      <c r="A367" s="1">
        <v>2021.0</v>
      </c>
      <c r="B367" s="3" t="s">
        <v>44</v>
      </c>
      <c r="C367" s="1">
        <v>1.0</v>
      </c>
    </row>
    <row r="368">
      <c r="A368" s="1">
        <v>2021.0</v>
      </c>
      <c r="B368" s="3" t="s">
        <v>45</v>
      </c>
      <c r="C368" s="1">
        <v>0.0</v>
      </c>
    </row>
    <row r="369">
      <c r="A369" s="1">
        <v>2021.0</v>
      </c>
      <c r="B369" s="3" t="s">
        <v>16</v>
      </c>
      <c r="C369" s="1">
        <v>0.0</v>
      </c>
    </row>
    <row r="370">
      <c r="A370" s="1">
        <v>2021.0</v>
      </c>
      <c r="B370" s="3" t="s">
        <v>46</v>
      </c>
      <c r="C370" s="1">
        <v>12.0</v>
      </c>
    </row>
    <row r="371">
      <c r="A371" s="1">
        <v>2021.0</v>
      </c>
      <c r="B371" s="3" t="s">
        <v>4</v>
      </c>
      <c r="C371" s="1">
        <v>233.0</v>
      </c>
    </row>
    <row r="372">
      <c r="A372" s="1">
        <v>2022.0</v>
      </c>
      <c r="B372" s="5" t="s">
        <v>41</v>
      </c>
      <c r="C372" s="1">
        <v>154.0</v>
      </c>
    </row>
    <row r="373">
      <c r="A373" s="1">
        <v>2022.0</v>
      </c>
      <c r="B373" s="5" t="s">
        <v>13</v>
      </c>
      <c r="C373" s="1">
        <v>8.0</v>
      </c>
    </row>
    <row r="374">
      <c r="A374" s="1">
        <v>2022.0</v>
      </c>
      <c r="B374" s="5" t="s">
        <v>42</v>
      </c>
      <c r="C374" s="1">
        <v>4.0</v>
      </c>
    </row>
    <row r="375">
      <c r="A375" s="1">
        <v>2022.0</v>
      </c>
      <c r="B375" s="5" t="s">
        <v>12</v>
      </c>
      <c r="C375" s="1">
        <v>95.0</v>
      </c>
    </row>
    <row r="376">
      <c r="A376" s="1">
        <v>2022.0</v>
      </c>
      <c r="B376" s="5" t="s">
        <v>43</v>
      </c>
      <c r="C376" s="1">
        <v>0.0</v>
      </c>
    </row>
    <row r="377">
      <c r="A377" s="1">
        <v>2022.0</v>
      </c>
      <c r="B377" s="5" t="s">
        <v>44</v>
      </c>
      <c r="C377" s="1">
        <v>1.0</v>
      </c>
    </row>
    <row r="378">
      <c r="A378" s="1">
        <v>2022.0</v>
      </c>
      <c r="B378" s="5" t="s">
        <v>45</v>
      </c>
      <c r="C378" s="1">
        <v>0.0</v>
      </c>
    </row>
    <row r="379">
      <c r="A379" s="1">
        <v>2022.0</v>
      </c>
      <c r="B379" s="5" t="s">
        <v>16</v>
      </c>
      <c r="C379" s="1">
        <v>1.0</v>
      </c>
    </row>
    <row r="380">
      <c r="A380" s="1">
        <v>2022.0</v>
      </c>
      <c r="B380" s="5" t="s">
        <v>46</v>
      </c>
      <c r="C380" s="1">
        <v>29.0</v>
      </c>
    </row>
    <row r="381">
      <c r="A381" s="1">
        <v>2022.0</v>
      </c>
      <c r="B381" s="5" t="s">
        <v>4</v>
      </c>
      <c r="C381" s="1">
        <v>292.0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" t="s">
        <v>1</v>
      </c>
      <c r="B1" s="5" t="s">
        <v>41</v>
      </c>
      <c r="C1" s="5" t="s">
        <v>13</v>
      </c>
      <c r="D1" s="5" t="s">
        <v>42</v>
      </c>
      <c r="E1" s="5" t="s">
        <v>12</v>
      </c>
      <c r="F1" s="5" t="s">
        <v>43</v>
      </c>
      <c r="G1" s="5" t="s">
        <v>44</v>
      </c>
      <c r="H1" s="5" t="s">
        <v>45</v>
      </c>
      <c r="I1" s="5" t="s">
        <v>16</v>
      </c>
      <c r="J1" s="5" t="s">
        <v>46</v>
      </c>
      <c r="K1" s="5" t="s">
        <v>4</v>
      </c>
    </row>
    <row r="2">
      <c r="A2" s="6">
        <v>1985.0</v>
      </c>
      <c r="B2" s="6">
        <v>66.66666666666667</v>
      </c>
      <c r="C2" s="6">
        <v>0.0</v>
      </c>
      <c r="D2" s="6">
        <v>0.0</v>
      </c>
      <c r="E2" s="6">
        <v>0.0</v>
      </c>
      <c r="F2" s="6">
        <v>33.333333333333336</v>
      </c>
      <c r="G2" s="6">
        <v>0.0</v>
      </c>
      <c r="H2" s="6">
        <v>0.0</v>
      </c>
      <c r="I2" s="6">
        <v>0.0</v>
      </c>
      <c r="J2" s="6">
        <v>0.0</v>
      </c>
      <c r="K2" s="6">
        <v>100.0</v>
      </c>
    </row>
    <row r="3">
      <c r="A3" s="6">
        <v>1986.0</v>
      </c>
      <c r="B3" s="6">
        <v>34.78260869565217</v>
      </c>
      <c r="C3" s="6">
        <v>0.0</v>
      </c>
      <c r="D3" s="6">
        <v>0.0</v>
      </c>
      <c r="E3" s="6">
        <v>4.3478260869565215</v>
      </c>
      <c r="F3" s="6">
        <v>56.52173913043478</v>
      </c>
      <c r="G3" s="6">
        <v>0.0</v>
      </c>
      <c r="H3" s="6">
        <v>0.0</v>
      </c>
      <c r="I3" s="6">
        <v>0.0</v>
      </c>
      <c r="J3" s="6">
        <v>4.3478260869565215</v>
      </c>
      <c r="K3" s="6">
        <v>99.99999999999999</v>
      </c>
    </row>
    <row r="4">
      <c r="A4" s="6">
        <v>1987.0</v>
      </c>
      <c r="B4" s="6">
        <v>91.66666666666667</v>
      </c>
      <c r="C4" s="6">
        <v>0.0</v>
      </c>
      <c r="D4" s="6">
        <v>0.0</v>
      </c>
      <c r="E4" s="6">
        <v>4.166666666666667</v>
      </c>
      <c r="F4" s="6">
        <v>4.166666666666667</v>
      </c>
      <c r="G4" s="6">
        <v>0.0</v>
      </c>
      <c r="H4" s="6">
        <v>0.0</v>
      </c>
      <c r="I4" s="6">
        <v>0.0</v>
      </c>
      <c r="J4" s="6">
        <v>0.0</v>
      </c>
      <c r="K4" s="6">
        <v>100.00000000000001</v>
      </c>
    </row>
    <row r="5">
      <c r="A5" s="6">
        <v>1988.0</v>
      </c>
      <c r="B5" s="6">
        <v>57.142857142857146</v>
      </c>
      <c r="C5" s="6">
        <v>0.0</v>
      </c>
      <c r="D5" s="6">
        <v>0.0</v>
      </c>
      <c r="E5" s="6">
        <v>8.571428571428571</v>
      </c>
      <c r="F5" s="6">
        <v>2.857142857142857</v>
      </c>
      <c r="G5" s="6">
        <v>31.42857142857143</v>
      </c>
      <c r="H5" s="6">
        <v>0.0</v>
      </c>
      <c r="I5" s="6">
        <v>0.0</v>
      </c>
      <c r="J5" s="6">
        <v>0.0</v>
      </c>
      <c r="K5" s="6">
        <v>100.00000000000001</v>
      </c>
      <c r="N5" s="1" t="s">
        <v>1</v>
      </c>
      <c r="O5" s="1" t="s">
        <v>47</v>
      </c>
      <c r="P5" s="1" t="s">
        <v>48</v>
      </c>
    </row>
    <row r="6">
      <c r="A6" s="6">
        <v>1989.0</v>
      </c>
      <c r="B6" s="6">
        <v>75.0</v>
      </c>
      <c r="C6" s="6">
        <v>0.0</v>
      </c>
      <c r="D6" s="6">
        <v>0.0</v>
      </c>
      <c r="E6" s="6">
        <v>12.5</v>
      </c>
      <c r="F6" s="6">
        <v>0.0</v>
      </c>
      <c r="G6" s="6">
        <v>12.5</v>
      </c>
      <c r="H6" s="6">
        <v>0.0</v>
      </c>
      <c r="I6" s="6">
        <v>0.0</v>
      </c>
      <c r="J6" s="6">
        <v>0.0</v>
      </c>
      <c r="K6" s="6">
        <v>100.0</v>
      </c>
      <c r="N6" s="3">
        <f>IFERROR(__xludf.DUMMYFUNCTION("ArrayFormula(split(FLATTEN(A2:A37&amp;""|""&amp;B1:K1&amp;""|""&amp;B2:K37),""|""))"),1985.0)</f>
        <v>1985</v>
      </c>
      <c r="O6" s="3" t="str">
        <f>IFERROR(__xludf.DUMMYFUNCTION("""COMPUTED_VALUE"""),"Homosexuální/bisexuální")</f>
        <v>Homosexuální/bisexuální</v>
      </c>
      <c r="P6" s="3">
        <f>IFERROR(__xludf.DUMMYFUNCTION("""COMPUTED_VALUE"""),66.6666666666667)</f>
        <v>66.66666667</v>
      </c>
    </row>
    <row r="7">
      <c r="A7" s="6">
        <v>1990.0</v>
      </c>
      <c r="B7" s="6">
        <v>73.33333333333334</v>
      </c>
      <c r="C7" s="6">
        <v>0.0</v>
      </c>
      <c r="D7" s="6">
        <v>0.0</v>
      </c>
      <c r="E7" s="6">
        <v>13.333333333333334</v>
      </c>
      <c r="F7" s="6">
        <v>0.0</v>
      </c>
      <c r="G7" s="6">
        <v>13.333333333333334</v>
      </c>
      <c r="H7" s="6">
        <v>0.0</v>
      </c>
      <c r="I7" s="6">
        <v>0.0</v>
      </c>
      <c r="J7" s="6">
        <v>0.0</v>
      </c>
      <c r="K7" s="6">
        <v>100.0</v>
      </c>
      <c r="N7" s="3">
        <f>IFERROR(__xludf.DUMMYFUNCTION("""COMPUTED_VALUE"""),1985.0)</f>
        <v>1985</v>
      </c>
      <c r="O7" s="3" t="str">
        <f>IFERROR(__xludf.DUMMYFUNCTION("""COMPUTED_VALUE"""),"Injekční uživatelé drog")</f>
        <v>Injekční uživatelé drog</v>
      </c>
      <c r="P7" s="3">
        <f>IFERROR(__xludf.DUMMYFUNCTION("""COMPUTED_VALUE"""),0.0)</f>
        <v>0</v>
      </c>
    </row>
    <row r="8">
      <c r="A8" s="6">
        <v>1991.0</v>
      </c>
      <c r="B8" s="6">
        <v>69.23076923076923</v>
      </c>
      <c r="C8" s="6">
        <v>7.6923076923076925</v>
      </c>
      <c r="D8" s="6">
        <v>0.0</v>
      </c>
      <c r="E8" s="6">
        <v>15.384615384615385</v>
      </c>
      <c r="F8" s="6">
        <v>0.0</v>
      </c>
      <c r="G8" s="6">
        <v>0.0</v>
      </c>
      <c r="H8" s="6">
        <v>0.0</v>
      </c>
      <c r="I8" s="6">
        <v>0.0</v>
      </c>
      <c r="J8" s="6">
        <v>7.6923076923076925</v>
      </c>
      <c r="K8" s="6">
        <v>100.0</v>
      </c>
      <c r="N8" s="3">
        <f>IFERROR(__xludf.DUMMYFUNCTION("""COMPUTED_VALUE"""),1985.0)</f>
        <v>1985</v>
      </c>
      <c r="O8" s="3" t="str">
        <f>IFERROR(__xludf.DUMMYFUNCTION("""COMPUTED_VALUE"""),"Injekční uživatelé drog + homo/bisex")</f>
        <v>Injekční uživatelé drog + homo/bisex</v>
      </c>
      <c r="P8" s="3">
        <f>IFERROR(__xludf.DUMMYFUNCTION("""COMPUTED_VALUE"""),0.0)</f>
        <v>0</v>
      </c>
    </row>
    <row r="9">
      <c r="A9" s="6">
        <v>1992.0</v>
      </c>
      <c r="B9" s="6">
        <v>69.56521739130434</v>
      </c>
      <c r="C9" s="6">
        <v>0.0</v>
      </c>
      <c r="D9" s="6">
        <v>0.0</v>
      </c>
      <c r="E9" s="6">
        <v>26.08695652173913</v>
      </c>
      <c r="F9" s="6">
        <v>0.0</v>
      </c>
      <c r="G9" s="6">
        <v>0.0</v>
      </c>
      <c r="H9" s="6">
        <v>0.0</v>
      </c>
      <c r="I9" s="6">
        <v>0.0</v>
      </c>
      <c r="J9" s="6">
        <v>4.3478260869565215</v>
      </c>
      <c r="K9" s="6">
        <v>99.99999999999999</v>
      </c>
      <c r="N9" s="3">
        <f>IFERROR(__xludf.DUMMYFUNCTION("""COMPUTED_VALUE"""),1985.0)</f>
        <v>1985</v>
      </c>
      <c r="O9" s="3" t="str">
        <f>IFERROR(__xludf.DUMMYFUNCTION("""COMPUTED_VALUE"""),"Heterosexuální")</f>
        <v>Heterosexuální</v>
      </c>
      <c r="P9" s="3">
        <f>IFERROR(__xludf.DUMMYFUNCTION("""COMPUTED_VALUE"""),0.0)</f>
        <v>0</v>
      </c>
    </row>
    <row r="10">
      <c r="A10" s="6">
        <v>1993.0</v>
      </c>
      <c r="B10" s="6">
        <v>51.851851851851855</v>
      </c>
      <c r="C10" s="6">
        <v>7.407407407407407</v>
      </c>
      <c r="D10" s="6">
        <v>0.0</v>
      </c>
      <c r="E10" s="6">
        <v>33.333333333333336</v>
      </c>
      <c r="F10" s="6">
        <v>0.0</v>
      </c>
      <c r="G10" s="6">
        <v>0.0</v>
      </c>
      <c r="H10" s="6">
        <v>0.0</v>
      </c>
      <c r="I10" s="6">
        <v>0.0</v>
      </c>
      <c r="J10" s="6">
        <v>7.407407407407407</v>
      </c>
      <c r="K10" s="6">
        <v>100.0</v>
      </c>
      <c r="N10" s="3">
        <f>IFERROR(__xludf.DUMMYFUNCTION("""COMPUTED_VALUE"""),1985.0)</f>
        <v>1985</v>
      </c>
      <c r="O10" s="3" t="str">
        <f>IFERROR(__xludf.DUMMYFUNCTION("""COMPUTED_VALUE"""),"Hemofilici")</f>
        <v>Hemofilici</v>
      </c>
      <c r="P10" s="3">
        <f>IFERROR(__xludf.DUMMYFUNCTION("""COMPUTED_VALUE"""),33.3333333333333)</f>
        <v>33.33333333</v>
      </c>
    </row>
    <row r="11">
      <c r="A11" s="6">
        <v>1994.0</v>
      </c>
      <c r="B11" s="6">
        <v>47.36842105263158</v>
      </c>
      <c r="C11" s="6">
        <v>5.2631578947368425</v>
      </c>
      <c r="D11" s="6">
        <v>0.0</v>
      </c>
      <c r="E11" s="6">
        <v>42.10526315789474</v>
      </c>
      <c r="F11" s="6">
        <v>2.6315789473684212</v>
      </c>
      <c r="G11" s="6">
        <v>0.0</v>
      </c>
      <c r="H11" s="6">
        <v>0.0</v>
      </c>
      <c r="I11" s="6">
        <v>0.0</v>
      </c>
      <c r="J11" s="6">
        <v>2.6315789473684212</v>
      </c>
      <c r="K11" s="6">
        <v>100.00000000000001</v>
      </c>
      <c r="N11" s="3">
        <f>IFERROR(__xludf.DUMMYFUNCTION("""COMPUTED_VALUE"""),1985.0)</f>
        <v>1985</v>
      </c>
      <c r="O11" s="3" t="str">
        <f>IFERROR(__xludf.DUMMYFUNCTION("""COMPUTED_VALUE"""),"Příjemci krve a krevních přípravků")</f>
        <v>Příjemci krve a krevních přípravků</v>
      </c>
      <c r="P11" s="3">
        <f>IFERROR(__xludf.DUMMYFUNCTION("""COMPUTED_VALUE"""),0.0)</f>
        <v>0</v>
      </c>
    </row>
    <row r="12">
      <c r="A12" s="6">
        <v>1995.0</v>
      </c>
      <c r="B12" s="6">
        <v>35.0</v>
      </c>
      <c r="C12" s="6">
        <v>7.5</v>
      </c>
      <c r="D12" s="6">
        <v>2.5</v>
      </c>
      <c r="E12" s="6">
        <v>47.5</v>
      </c>
      <c r="F12" s="6">
        <v>0.0</v>
      </c>
      <c r="G12" s="6">
        <v>0.0</v>
      </c>
      <c r="H12" s="6">
        <v>0.0</v>
      </c>
      <c r="I12" s="6">
        <v>0.0</v>
      </c>
      <c r="J12" s="6">
        <v>7.5</v>
      </c>
      <c r="K12" s="6">
        <v>100.0</v>
      </c>
      <c r="N12" s="3">
        <f>IFERROR(__xludf.DUMMYFUNCTION("""COMPUTED_VALUE"""),1985.0)</f>
        <v>1985</v>
      </c>
      <c r="O12" s="3" t="str">
        <f>IFERROR(__xludf.DUMMYFUNCTION("""COMPUTED_VALUE"""),"Z matky na dítě")</f>
        <v>Z matky na dítě</v>
      </c>
      <c r="P12" s="3">
        <f>IFERROR(__xludf.DUMMYFUNCTION("""COMPUTED_VALUE"""),0.0)</f>
        <v>0</v>
      </c>
    </row>
    <row r="13">
      <c r="A13" s="6">
        <v>1996.0</v>
      </c>
      <c r="B13" s="6">
        <v>62.745098039215684</v>
      </c>
      <c r="C13" s="6">
        <v>3.9215686274509802</v>
      </c>
      <c r="D13" s="6">
        <v>0.0</v>
      </c>
      <c r="E13" s="6">
        <v>33.33333333333333</v>
      </c>
      <c r="F13" s="6">
        <v>0.0</v>
      </c>
      <c r="G13" s="6">
        <v>0.0</v>
      </c>
      <c r="H13" s="6">
        <v>0.0</v>
      </c>
      <c r="I13" s="6">
        <v>0.0</v>
      </c>
      <c r="J13" s="6">
        <v>0.0</v>
      </c>
      <c r="K13" s="6">
        <v>99.99999999999999</v>
      </c>
      <c r="N13" s="3">
        <f>IFERROR(__xludf.DUMMYFUNCTION("""COMPUTED_VALUE"""),1985.0)</f>
        <v>1985</v>
      </c>
      <c r="O13" s="3" t="str">
        <f>IFERROR(__xludf.DUMMYFUNCTION("""COMPUTED_VALUE"""),"Nozokomiální")</f>
        <v>Nozokomiální</v>
      </c>
      <c r="P13" s="3">
        <f>IFERROR(__xludf.DUMMYFUNCTION("""COMPUTED_VALUE"""),0.0)</f>
        <v>0</v>
      </c>
    </row>
    <row r="14">
      <c r="A14" s="6">
        <v>1997.0</v>
      </c>
      <c r="B14" s="6">
        <v>50.0</v>
      </c>
      <c r="C14" s="6">
        <v>1.6129032258064515</v>
      </c>
      <c r="D14" s="6">
        <v>3.225806451612903</v>
      </c>
      <c r="E14" s="6">
        <v>40.32258064516129</v>
      </c>
      <c r="F14" s="6">
        <v>0.0</v>
      </c>
      <c r="G14" s="6">
        <v>0.0</v>
      </c>
      <c r="H14" s="6">
        <v>1.6129032258064515</v>
      </c>
      <c r="I14" s="6">
        <v>0.0</v>
      </c>
      <c r="J14" s="6">
        <v>3.225806451612903</v>
      </c>
      <c r="K14" s="6">
        <v>99.99999999999999</v>
      </c>
      <c r="N14" s="3">
        <f>IFERROR(__xludf.DUMMYFUNCTION("""COMPUTED_VALUE"""),1985.0)</f>
        <v>1985</v>
      </c>
      <c r="O14" s="3" t="str">
        <f>IFERROR(__xludf.DUMMYFUNCTION("""COMPUTED_VALUE"""),"Nezjištěný/jiný")</f>
        <v>Nezjištěný/jiný</v>
      </c>
      <c r="P14" s="3">
        <f>IFERROR(__xludf.DUMMYFUNCTION("""COMPUTED_VALUE"""),0.0)</f>
        <v>0</v>
      </c>
    </row>
    <row r="15">
      <c r="A15" s="6">
        <v>1998.0</v>
      </c>
      <c r="B15" s="6">
        <v>50.0</v>
      </c>
      <c r="C15" s="6">
        <v>10.0</v>
      </c>
      <c r="D15" s="6">
        <v>6.666666666666667</v>
      </c>
      <c r="E15" s="6">
        <v>30.0</v>
      </c>
      <c r="F15" s="6">
        <v>0.0</v>
      </c>
      <c r="G15" s="6">
        <v>0.0</v>
      </c>
      <c r="H15" s="6">
        <v>0.0</v>
      </c>
      <c r="I15" s="6">
        <v>3.3333333333333335</v>
      </c>
      <c r="J15" s="6">
        <v>0.0</v>
      </c>
      <c r="K15" s="6">
        <v>100.0</v>
      </c>
      <c r="N15" s="3">
        <f>IFERROR(__xludf.DUMMYFUNCTION("""COMPUTED_VALUE"""),1985.0)</f>
        <v>1985</v>
      </c>
      <c r="O15" s="3" t="str">
        <f>IFERROR(__xludf.DUMMYFUNCTION("""COMPUTED_VALUE"""),"Celkem")</f>
        <v>Celkem</v>
      </c>
      <c r="P15" s="3">
        <f>IFERROR(__xludf.DUMMYFUNCTION("""COMPUTED_VALUE"""),100.0)</f>
        <v>100</v>
      </c>
    </row>
    <row r="16">
      <c r="A16" s="6">
        <v>1999.0</v>
      </c>
      <c r="B16" s="6">
        <v>38.0</v>
      </c>
      <c r="C16" s="6">
        <v>2.0</v>
      </c>
      <c r="D16" s="6">
        <v>2.0</v>
      </c>
      <c r="E16" s="6">
        <v>48.0</v>
      </c>
      <c r="F16" s="6">
        <v>0.0</v>
      </c>
      <c r="G16" s="6">
        <v>0.0</v>
      </c>
      <c r="H16" s="6">
        <v>2.0</v>
      </c>
      <c r="I16" s="6">
        <v>2.0</v>
      </c>
      <c r="J16" s="6">
        <v>6.0</v>
      </c>
      <c r="K16" s="6">
        <v>100.0</v>
      </c>
      <c r="N16" s="3">
        <f>IFERROR(__xludf.DUMMYFUNCTION("""COMPUTED_VALUE"""),1986.0)</f>
        <v>1986</v>
      </c>
      <c r="O16" s="3" t="str">
        <f>IFERROR(__xludf.DUMMYFUNCTION("""COMPUTED_VALUE"""),"Homosexuální/bisexuální")</f>
        <v>Homosexuální/bisexuální</v>
      </c>
      <c r="P16" s="3">
        <f>IFERROR(__xludf.DUMMYFUNCTION("""COMPUTED_VALUE"""),34.7826086956522)</f>
        <v>34.7826087</v>
      </c>
    </row>
    <row r="17">
      <c r="A17" s="6">
        <v>2000.0</v>
      </c>
      <c r="B17" s="6">
        <v>48.275862068965516</v>
      </c>
      <c r="C17" s="6">
        <v>6.896551724137931</v>
      </c>
      <c r="D17" s="6">
        <v>0.0</v>
      </c>
      <c r="E17" s="6">
        <v>37.93103448275862</v>
      </c>
      <c r="F17" s="6">
        <v>0.0</v>
      </c>
      <c r="G17" s="6">
        <v>0.0</v>
      </c>
      <c r="H17" s="6">
        <v>1.7241379310344827</v>
      </c>
      <c r="I17" s="6">
        <v>0.0</v>
      </c>
      <c r="J17" s="6">
        <v>5.172413793103448</v>
      </c>
      <c r="K17" s="6">
        <v>99.99999999999999</v>
      </c>
      <c r="N17" s="3">
        <f>IFERROR(__xludf.DUMMYFUNCTION("""COMPUTED_VALUE"""),1986.0)</f>
        <v>1986</v>
      </c>
      <c r="O17" s="3" t="str">
        <f>IFERROR(__xludf.DUMMYFUNCTION("""COMPUTED_VALUE"""),"Injekční uživatelé drog")</f>
        <v>Injekční uživatelé drog</v>
      </c>
      <c r="P17" s="3">
        <f>IFERROR(__xludf.DUMMYFUNCTION("""COMPUTED_VALUE"""),0.0)</f>
        <v>0</v>
      </c>
    </row>
    <row r="18">
      <c r="A18" s="6">
        <v>2001.0</v>
      </c>
      <c r="B18" s="6">
        <v>58.8235294117647</v>
      </c>
      <c r="C18" s="6">
        <v>7.8431372549019605</v>
      </c>
      <c r="D18" s="6">
        <v>3.9215686274509802</v>
      </c>
      <c r="E18" s="6">
        <v>27.45098039215686</v>
      </c>
      <c r="F18" s="6">
        <v>0.0</v>
      </c>
      <c r="G18" s="6">
        <v>0.0</v>
      </c>
      <c r="H18" s="6">
        <v>0.0</v>
      </c>
      <c r="I18" s="6">
        <v>0.0</v>
      </c>
      <c r="J18" s="6">
        <v>1.9607843137254901</v>
      </c>
      <c r="K18" s="6">
        <v>99.99999999999999</v>
      </c>
      <c r="N18" s="3">
        <f>IFERROR(__xludf.DUMMYFUNCTION("""COMPUTED_VALUE"""),1986.0)</f>
        <v>1986</v>
      </c>
      <c r="O18" s="3" t="str">
        <f>IFERROR(__xludf.DUMMYFUNCTION("""COMPUTED_VALUE"""),"Injekční uživatelé drog + homo/bisex")</f>
        <v>Injekční uživatelé drog + homo/bisex</v>
      </c>
      <c r="P18" s="3">
        <f>IFERROR(__xludf.DUMMYFUNCTION("""COMPUTED_VALUE"""),0.0)</f>
        <v>0</v>
      </c>
    </row>
    <row r="19">
      <c r="A19" s="6">
        <v>2002.0</v>
      </c>
      <c r="B19" s="6">
        <v>54.0</v>
      </c>
      <c r="C19" s="6">
        <v>4.0</v>
      </c>
      <c r="D19" s="6">
        <v>2.0</v>
      </c>
      <c r="E19" s="6">
        <v>40.0</v>
      </c>
      <c r="F19" s="6">
        <v>0.0</v>
      </c>
      <c r="G19" s="6">
        <v>0.0</v>
      </c>
      <c r="H19" s="6">
        <v>0.0</v>
      </c>
      <c r="I19" s="6">
        <v>0.0</v>
      </c>
      <c r="J19" s="6">
        <v>0.0</v>
      </c>
      <c r="K19" s="6">
        <v>100.0</v>
      </c>
      <c r="N19" s="3">
        <f>IFERROR(__xludf.DUMMYFUNCTION("""COMPUTED_VALUE"""),1986.0)</f>
        <v>1986</v>
      </c>
      <c r="O19" s="3" t="str">
        <f>IFERROR(__xludf.DUMMYFUNCTION("""COMPUTED_VALUE"""),"Heterosexuální")</f>
        <v>Heterosexuální</v>
      </c>
      <c r="P19" s="3">
        <f>IFERROR(__xludf.DUMMYFUNCTION("""COMPUTED_VALUE"""),4.34782608695652)</f>
        <v>4.347826087</v>
      </c>
    </row>
    <row r="20">
      <c r="A20" s="6">
        <v>2003.0</v>
      </c>
      <c r="B20" s="6">
        <v>58.73015873015873</v>
      </c>
      <c r="C20" s="6">
        <v>6.349206349206349</v>
      </c>
      <c r="D20" s="6">
        <v>1.5873015873015872</v>
      </c>
      <c r="E20" s="6">
        <v>30.158730158730158</v>
      </c>
      <c r="F20" s="6">
        <v>0.0</v>
      </c>
      <c r="G20" s="6">
        <v>0.0</v>
      </c>
      <c r="H20" s="6">
        <v>1.5873015873015872</v>
      </c>
      <c r="I20" s="6">
        <v>0.0</v>
      </c>
      <c r="J20" s="6">
        <v>1.5873015873015872</v>
      </c>
      <c r="K20" s="6">
        <v>99.99999999999997</v>
      </c>
      <c r="N20" s="3">
        <f>IFERROR(__xludf.DUMMYFUNCTION("""COMPUTED_VALUE"""),1986.0)</f>
        <v>1986</v>
      </c>
      <c r="O20" s="3" t="str">
        <f>IFERROR(__xludf.DUMMYFUNCTION("""COMPUTED_VALUE"""),"Hemofilici")</f>
        <v>Hemofilici</v>
      </c>
      <c r="P20" s="3">
        <f>IFERROR(__xludf.DUMMYFUNCTION("""COMPUTED_VALUE"""),56.5217391304348)</f>
        <v>56.52173913</v>
      </c>
    </row>
    <row r="21">
      <c r="A21" s="6">
        <v>2004.0</v>
      </c>
      <c r="B21" s="6">
        <v>45.83333333333333</v>
      </c>
      <c r="C21" s="6">
        <v>8.333333333333332</v>
      </c>
      <c r="D21" s="6">
        <v>2.7777777777777777</v>
      </c>
      <c r="E21" s="6">
        <v>43.05555555555556</v>
      </c>
      <c r="F21" s="6">
        <v>0.0</v>
      </c>
      <c r="G21" s="6">
        <v>0.0</v>
      </c>
      <c r="H21" s="6">
        <v>0.0</v>
      </c>
      <c r="I21" s="6">
        <v>0.0</v>
      </c>
      <c r="J21" s="6">
        <v>0.0</v>
      </c>
      <c r="K21" s="6">
        <v>100.0</v>
      </c>
      <c r="N21" s="3">
        <f>IFERROR(__xludf.DUMMYFUNCTION("""COMPUTED_VALUE"""),1986.0)</f>
        <v>1986</v>
      </c>
      <c r="O21" s="3" t="str">
        <f>IFERROR(__xludf.DUMMYFUNCTION("""COMPUTED_VALUE"""),"Příjemci krve a krevních přípravků")</f>
        <v>Příjemci krve a krevních přípravků</v>
      </c>
      <c r="P21" s="3">
        <f>IFERROR(__xludf.DUMMYFUNCTION("""COMPUTED_VALUE"""),0.0)</f>
        <v>0</v>
      </c>
    </row>
    <row r="22">
      <c r="A22" s="6">
        <v>2005.0</v>
      </c>
      <c r="B22" s="6">
        <v>60.0</v>
      </c>
      <c r="C22" s="6">
        <v>4.444444444444445</v>
      </c>
      <c r="D22" s="6">
        <v>1.1111111111111112</v>
      </c>
      <c r="E22" s="6">
        <v>33.333333333333336</v>
      </c>
      <c r="F22" s="6">
        <v>0.0</v>
      </c>
      <c r="G22" s="6">
        <v>0.0</v>
      </c>
      <c r="H22" s="6">
        <v>0.0</v>
      </c>
      <c r="I22" s="6">
        <v>0.0</v>
      </c>
      <c r="J22" s="6">
        <v>1.1111111111111112</v>
      </c>
      <c r="K22" s="6">
        <v>100.0</v>
      </c>
      <c r="N22" s="3">
        <f>IFERROR(__xludf.DUMMYFUNCTION("""COMPUTED_VALUE"""),1986.0)</f>
        <v>1986</v>
      </c>
      <c r="O22" s="3" t="str">
        <f>IFERROR(__xludf.DUMMYFUNCTION("""COMPUTED_VALUE"""),"Z matky na dítě")</f>
        <v>Z matky na dítě</v>
      </c>
      <c r="P22" s="3">
        <f>IFERROR(__xludf.DUMMYFUNCTION("""COMPUTED_VALUE"""),0.0)</f>
        <v>0</v>
      </c>
    </row>
    <row r="23">
      <c r="A23" s="6">
        <v>2006.0</v>
      </c>
      <c r="B23" s="6">
        <v>60.439560439560445</v>
      </c>
      <c r="C23" s="6">
        <v>5.4945054945054945</v>
      </c>
      <c r="D23" s="6">
        <v>2.197802197802198</v>
      </c>
      <c r="E23" s="6">
        <v>28.571428571428573</v>
      </c>
      <c r="F23" s="6">
        <v>0.0</v>
      </c>
      <c r="G23" s="6">
        <v>0.0</v>
      </c>
      <c r="H23" s="6">
        <v>0.0</v>
      </c>
      <c r="I23" s="6">
        <v>0.0</v>
      </c>
      <c r="J23" s="6">
        <v>3.296703296703297</v>
      </c>
      <c r="K23" s="6">
        <v>100.00000000000001</v>
      </c>
      <c r="N23" s="3">
        <f>IFERROR(__xludf.DUMMYFUNCTION("""COMPUTED_VALUE"""),1986.0)</f>
        <v>1986</v>
      </c>
      <c r="O23" s="3" t="str">
        <f>IFERROR(__xludf.DUMMYFUNCTION("""COMPUTED_VALUE"""),"Nozokomiální")</f>
        <v>Nozokomiální</v>
      </c>
      <c r="P23" s="3">
        <f>IFERROR(__xludf.DUMMYFUNCTION("""COMPUTED_VALUE"""),0.0)</f>
        <v>0</v>
      </c>
    </row>
    <row r="24">
      <c r="A24" s="6">
        <v>2007.0</v>
      </c>
      <c r="B24" s="6">
        <v>61.98347107438017</v>
      </c>
      <c r="C24" s="6">
        <v>9.917355371900827</v>
      </c>
      <c r="D24" s="6">
        <v>4.132231404958678</v>
      </c>
      <c r="E24" s="6">
        <v>23.140495867768596</v>
      </c>
      <c r="F24" s="6">
        <v>0.0</v>
      </c>
      <c r="G24" s="6">
        <v>0.0</v>
      </c>
      <c r="H24" s="6">
        <v>0.0</v>
      </c>
      <c r="I24" s="6">
        <v>0.0</v>
      </c>
      <c r="J24" s="6">
        <v>0.8264462809917356</v>
      </c>
      <c r="K24" s="6">
        <v>100.0</v>
      </c>
      <c r="N24" s="3">
        <f>IFERROR(__xludf.DUMMYFUNCTION("""COMPUTED_VALUE"""),1986.0)</f>
        <v>1986</v>
      </c>
      <c r="O24" s="3" t="str">
        <f>IFERROR(__xludf.DUMMYFUNCTION("""COMPUTED_VALUE"""),"Nezjištěný/jiný")</f>
        <v>Nezjištěný/jiný</v>
      </c>
      <c r="P24" s="3">
        <f>IFERROR(__xludf.DUMMYFUNCTION("""COMPUTED_VALUE"""),4.34782608695652)</f>
        <v>4.347826087</v>
      </c>
    </row>
    <row r="25">
      <c r="A25" s="6">
        <v>2008.0</v>
      </c>
      <c r="B25" s="6">
        <v>61.486486486486484</v>
      </c>
      <c r="C25" s="6">
        <v>6.081081081081081</v>
      </c>
      <c r="D25" s="6">
        <v>2.7027027027027026</v>
      </c>
      <c r="E25" s="6">
        <v>28.37837837837838</v>
      </c>
      <c r="F25" s="6">
        <v>0.0</v>
      </c>
      <c r="G25" s="6">
        <v>0.0</v>
      </c>
      <c r="H25" s="6">
        <v>0.0</v>
      </c>
      <c r="I25" s="6">
        <v>0.0</v>
      </c>
      <c r="J25" s="6">
        <v>1.3513513513513513</v>
      </c>
      <c r="K25" s="6">
        <v>100.0</v>
      </c>
      <c r="N25" s="3">
        <f>IFERROR(__xludf.DUMMYFUNCTION("""COMPUTED_VALUE"""),1986.0)</f>
        <v>1986</v>
      </c>
      <c r="O25" s="3" t="str">
        <f>IFERROR(__xludf.DUMMYFUNCTION("""COMPUTED_VALUE"""),"Celkem")</f>
        <v>Celkem</v>
      </c>
      <c r="P25" s="3">
        <f>IFERROR(__xludf.DUMMYFUNCTION("""COMPUTED_VALUE"""),100.0)</f>
        <v>100</v>
      </c>
    </row>
    <row r="26">
      <c r="A26" s="6">
        <v>2009.0</v>
      </c>
      <c r="B26" s="6">
        <v>66.66666666666667</v>
      </c>
      <c r="C26" s="6">
        <v>2.5641025641025643</v>
      </c>
      <c r="D26" s="6">
        <v>1.9230769230769234</v>
      </c>
      <c r="E26" s="6">
        <v>27.564102564102566</v>
      </c>
      <c r="F26" s="6">
        <v>0.0</v>
      </c>
      <c r="G26" s="6">
        <v>0.0</v>
      </c>
      <c r="H26" s="6">
        <v>0.0</v>
      </c>
      <c r="I26" s="6">
        <v>0.0</v>
      </c>
      <c r="J26" s="6">
        <v>1.2820512820512822</v>
      </c>
      <c r="K26" s="6">
        <v>100.00000000000001</v>
      </c>
      <c r="N26" s="3">
        <f>IFERROR(__xludf.DUMMYFUNCTION("""COMPUTED_VALUE"""),1987.0)</f>
        <v>1987</v>
      </c>
      <c r="O26" s="3" t="str">
        <f>IFERROR(__xludf.DUMMYFUNCTION("""COMPUTED_VALUE"""),"Homosexuální/bisexuální")</f>
        <v>Homosexuální/bisexuální</v>
      </c>
      <c r="P26" s="3">
        <f>IFERROR(__xludf.DUMMYFUNCTION("""COMPUTED_VALUE"""),91.6666666666667)</f>
        <v>91.66666667</v>
      </c>
    </row>
    <row r="27">
      <c r="A27" s="6">
        <v>2010.0</v>
      </c>
      <c r="B27" s="6">
        <v>72.22222222222223</v>
      </c>
      <c r="C27" s="6">
        <v>2.2222222222222223</v>
      </c>
      <c r="D27" s="6">
        <v>1.6666666666666667</v>
      </c>
      <c r="E27" s="6">
        <v>21.666666666666668</v>
      </c>
      <c r="F27" s="6">
        <v>0.0</v>
      </c>
      <c r="G27" s="6">
        <v>0.0</v>
      </c>
      <c r="H27" s="6">
        <v>0.0</v>
      </c>
      <c r="I27" s="6">
        <v>0.0</v>
      </c>
      <c r="J27" s="6">
        <v>2.2222222222222223</v>
      </c>
      <c r="K27" s="6">
        <v>100.00000000000003</v>
      </c>
      <c r="N27" s="3">
        <f>IFERROR(__xludf.DUMMYFUNCTION("""COMPUTED_VALUE"""),1987.0)</f>
        <v>1987</v>
      </c>
      <c r="O27" s="3" t="str">
        <f>IFERROR(__xludf.DUMMYFUNCTION("""COMPUTED_VALUE"""),"Injekční uživatelé drog")</f>
        <v>Injekční uživatelé drog</v>
      </c>
      <c r="P27" s="3">
        <f>IFERROR(__xludf.DUMMYFUNCTION("""COMPUTED_VALUE"""),0.0)</f>
        <v>0</v>
      </c>
    </row>
    <row r="28">
      <c r="A28" s="6">
        <v>2011.0</v>
      </c>
      <c r="B28" s="6">
        <v>71.89542483660131</v>
      </c>
      <c r="C28" s="6">
        <v>3.9215686274509807</v>
      </c>
      <c r="D28" s="6">
        <v>3.9215686274509807</v>
      </c>
      <c r="E28" s="6">
        <v>16.99346405228758</v>
      </c>
      <c r="F28" s="6">
        <v>0.0</v>
      </c>
      <c r="G28" s="6">
        <v>0.0</v>
      </c>
      <c r="H28" s="6">
        <v>0.0</v>
      </c>
      <c r="I28" s="6">
        <v>0.6535947712418301</v>
      </c>
      <c r="J28" s="6">
        <v>2.6143790849673203</v>
      </c>
      <c r="K28" s="6">
        <v>100.0</v>
      </c>
      <c r="N28" s="3">
        <f>IFERROR(__xludf.DUMMYFUNCTION("""COMPUTED_VALUE"""),1987.0)</f>
        <v>1987</v>
      </c>
      <c r="O28" s="3" t="str">
        <f>IFERROR(__xludf.DUMMYFUNCTION("""COMPUTED_VALUE"""),"Injekční uživatelé drog + homo/bisex")</f>
        <v>Injekční uživatelé drog + homo/bisex</v>
      </c>
      <c r="P28" s="3">
        <f>IFERROR(__xludf.DUMMYFUNCTION("""COMPUTED_VALUE"""),0.0)</f>
        <v>0</v>
      </c>
    </row>
    <row r="29">
      <c r="A29" s="6">
        <v>2012.0</v>
      </c>
      <c r="B29" s="6">
        <v>71.69811320754717</v>
      </c>
      <c r="C29" s="6">
        <v>2.358490566037736</v>
      </c>
      <c r="D29" s="6">
        <v>2.358490566037736</v>
      </c>
      <c r="E29" s="6">
        <v>19.339622641509433</v>
      </c>
      <c r="F29" s="6">
        <v>0.0</v>
      </c>
      <c r="G29" s="6">
        <v>0.0</v>
      </c>
      <c r="H29" s="6">
        <v>0.9433962264150944</v>
      </c>
      <c r="I29" s="6">
        <v>0.4716981132075472</v>
      </c>
      <c r="J29" s="6">
        <v>2.830188679245283</v>
      </c>
      <c r="K29" s="6">
        <v>99.99999999999999</v>
      </c>
      <c r="N29" s="3">
        <f>IFERROR(__xludf.DUMMYFUNCTION("""COMPUTED_VALUE"""),1987.0)</f>
        <v>1987</v>
      </c>
      <c r="O29" s="3" t="str">
        <f>IFERROR(__xludf.DUMMYFUNCTION("""COMPUTED_VALUE"""),"Heterosexuální")</f>
        <v>Heterosexuální</v>
      </c>
      <c r="P29" s="3">
        <f>IFERROR(__xludf.DUMMYFUNCTION("""COMPUTED_VALUE"""),4.16666666666667)</f>
        <v>4.166666667</v>
      </c>
    </row>
    <row r="30">
      <c r="A30" s="6">
        <v>2013.0</v>
      </c>
      <c r="B30" s="6">
        <v>74.8936170212766</v>
      </c>
      <c r="C30" s="6">
        <v>2.5531914893617023</v>
      </c>
      <c r="D30" s="6">
        <v>1.702127659574468</v>
      </c>
      <c r="E30" s="6">
        <v>19.148936170212767</v>
      </c>
      <c r="F30" s="6">
        <v>0.0</v>
      </c>
      <c r="G30" s="6">
        <v>0.0</v>
      </c>
      <c r="H30" s="6">
        <v>0.0</v>
      </c>
      <c r="I30" s="6">
        <v>0.0</v>
      </c>
      <c r="J30" s="6">
        <v>1.702127659574468</v>
      </c>
      <c r="K30" s="6">
        <v>100.00000000000001</v>
      </c>
      <c r="N30" s="3">
        <f>IFERROR(__xludf.DUMMYFUNCTION("""COMPUTED_VALUE"""),1987.0)</f>
        <v>1987</v>
      </c>
      <c r="O30" s="3" t="str">
        <f>IFERROR(__xludf.DUMMYFUNCTION("""COMPUTED_VALUE"""),"Hemofilici")</f>
        <v>Hemofilici</v>
      </c>
      <c r="P30" s="3">
        <f>IFERROR(__xludf.DUMMYFUNCTION("""COMPUTED_VALUE"""),4.16666666666667)</f>
        <v>4.166666667</v>
      </c>
    </row>
    <row r="31">
      <c r="A31" s="6">
        <v>2014.0</v>
      </c>
      <c r="B31" s="6">
        <v>71.55172413793103</v>
      </c>
      <c r="C31" s="6">
        <v>3.879310344827586</v>
      </c>
      <c r="D31" s="6">
        <v>2.586206896551724</v>
      </c>
      <c r="E31" s="6">
        <v>19.39655172413793</v>
      </c>
      <c r="F31" s="6">
        <v>0.0</v>
      </c>
      <c r="G31" s="6">
        <v>0.0</v>
      </c>
      <c r="H31" s="6">
        <v>0.43103448275862066</v>
      </c>
      <c r="I31" s="6">
        <v>0.0</v>
      </c>
      <c r="J31" s="6">
        <v>2.155172413793103</v>
      </c>
      <c r="K31" s="6">
        <v>100.0</v>
      </c>
      <c r="N31" s="3">
        <f>IFERROR(__xludf.DUMMYFUNCTION("""COMPUTED_VALUE"""),1987.0)</f>
        <v>1987</v>
      </c>
      <c r="O31" s="3" t="str">
        <f>IFERROR(__xludf.DUMMYFUNCTION("""COMPUTED_VALUE"""),"Příjemci krve a krevních přípravků")</f>
        <v>Příjemci krve a krevních přípravků</v>
      </c>
      <c r="P31" s="3">
        <f>IFERROR(__xludf.DUMMYFUNCTION("""COMPUTED_VALUE"""),0.0)</f>
        <v>0</v>
      </c>
    </row>
    <row r="32">
      <c r="A32" s="6">
        <v>2015.0</v>
      </c>
      <c r="B32" s="6">
        <v>77.06766917293233</v>
      </c>
      <c r="C32" s="6">
        <v>1.5037593984962405</v>
      </c>
      <c r="D32" s="6">
        <v>2.631578947368421</v>
      </c>
      <c r="E32" s="6">
        <v>17.293233082706767</v>
      </c>
      <c r="F32" s="6">
        <v>0.0</v>
      </c>
      <c r="G32" s="6">
        <v>0.0</v>
      </c>
      <c r="H32" s="6">
        <v>0.0</v>
      </c>
      <c r="I32" s="6">
        <v>0.0</v>
      </c>
      <c r="J32" s="6">
        <v>1.5037593984962405</v>
      </c>
      <c r="K32" s="6">
        <v>100.0</v>
      </c>
      <c r="N32" s="3">
        <f>IFERROR(__xludf.DUMMYFUNCTION("""COMPUTED_VALUE"""),1987.0)</f>
        <v>1987</v>
      </c>
      <c r="O32" s="3" t="str">
        <f>IFERROR(__xludf.DUMMYFUNCTION("""COMPUTED_VALUE"""),"Z matky na dítě")</f>
        <v>Z matky na dítě</v>
      </c>
      <c r="P32" s="3">
        <f>IFERROR(__xludf.DUMMYFUNCTION("""COMPUTED_VALUE"""),0.0)</f>
        <v>0</v>
      </c>
    </row>
    <row r="33">
      <c r="A33" s="6">
        <v>2016.0</v>
      </c>
      <c r="B33" s="6">
        <v>73.07692307692308</v>
      </c>
      <c r="C33" s="6">
        <v>2.4475524475524475</v>
      </c>
      <c r="D33" s="6">
        <v>1.3986013986013985</v>
      </c>
      <c r="E33" s="6">
        <v>18.88111888111888</v>
      </c>
      <c r="F33" s="6">
        <v>0.0</v>
      </c>
      <c r="G33" s="6">
        <v>0.0</v>
      </c>
      <c r="H33" s="6">
        <v>0.6993006993006993</v>
      </c>
      <c r="I33" s="6">
        <v>0.34965034965034963</v>
      </c>
      <c r="J33" s="6">
        <v>3.1468531468531467</v>
      </c>
      <c r="K33" s="6">
        <v>100.0</v>
      </c>
      <c r="N33" s="3">
        <f>IFERROR(__xludf.DUMMYFUNCTION("""COMPUTED_VALUE"""),1987.0)</f>
        <v>1987</v>
      </c>
      <c r="O33" s="3" t="str">
        <f>IFERROR(__xludf.DUMMYFUNCTION("""COMPUTED_VALUE"""),"Nozokomiální")</f>
        <v>Nozokomiální</v>
      </c>
      <c r="P33" s="3">
        <f>IFERROR(__xludf.DUMMYFUNCTION("""COMPUTED_VALUE"""),0.0)</f>
        <v>0</v>
      </c>
    </row>
    <row r="34">
      <c r="A34" s="6">
        <v>2017.0</v>
      </c>
      <c r="B34" s="6">
        <v>70.4724409448819</v>
      </c>
      <c r="C34" s="6">
        <v>1.968503937007874</v>
      </c>
      <c r="D34" s="6">
        <v>1.1811023622047245</v>
      </c>
      <c r="E34" s="6">
        <v>23.228346456692915</v>
      </c>
      <c r="F34" s="6">
        <v>0.0</v>
      </c>
      <c r="G34" s="6">
        <v>0.3937007874015748</v>
      </c>
      <c r="H34" s="6">
        <v>0.0</v>
      </c>
      <c r="I34" s="6">
        <v>0.7874015748031497</v>
      </c>
      <c r="J34" s="6">
        <v>1.968503937007874</v>
      </c>
      <c r="K34" s="6">
        <v>100.00000000000003</v>
      </c>
      <c r="N34" s="3">
        <f>IFERROR(__xludf.DUMMYFUNCTION("""COMPUTED_VALUE"""),1987.0)</f>
        <v>1987</v>
      </c>
      <c r="O34" s="3" t="str">
        <f>IFERROR(__xludf.DUMMYFUNCTION("""COMPUTED_VALUE"""),"Nezjištěný/jiný")</f>
        <v>Nezjištěný/jiný</v>
      </c>
      <c r="P34" s="3">
        <f>IFERROR(__xludf.DUMMYFUNCTION("""COMPUTED_VALUE"""),0.0)</f>
        <v>0</v>
      </c>
    </row>
    <row r="35">
      <c r="A35" s="6">
        <v>2018.0</v>
      </c>
      <c r="B35" s="6">
        <v>64.42307692307692</v>
      </c>
      <c r="C35" s="6">
        <v>3.3653846153846154</v>
      </c>
      <c r="D35" s="6">
        <v>1.9230769230769231</v>
      </c>
      <c r="E35" s="6">
        <v>26.923076923076923</v>
      </c>
      <c r="F35" s="6">
        <v>0.0</v>
      </c>
      <c r="G35" s="6">
        <v>0.0</v>
      </c>
      <c r="H35" s="6">
        <v>0.0</v>
      </c>
      <c r="I35" s="6">
        <v>0.4807692307692308</v>
      </c>
      <c r="J35" s="6">
        <v>2.8846153846153846</v>
      </c>
      <c r="K35" s="6">
        <v>99.99999999999999</v>
      </c>
      <c r="N35" s="3">
        <f>IFERROR(__xludf.DUMMYFUNCTION("""COMPUTED_VALUE"""),1987.0)</f>
        <v>1987</v>
      </c>
      <c r="O35" s="3" t="str">
        <f>IFERROR(__xludf.DUMMYFUNCTION("""COMPUTED_VALUE"""),"Celkem")</f>
        <v>Celkem</v>
      </c>
      <c r="P35" s="3">
        <f>IFERROR(__xludf.DUMMYFUNCTION("""COMPUTED_VALUE"""),100.0)</f>
        <v>100</v>
      </c>
    </row>
    <row r="36">
      <c r="A36" s="6">
        <v>2019.0</v>
      </c>
      <c r="B36" s="6">
        <v>67.11711711711712</v>
      </c>
      <c r="C36" s="6">
        <v>3.6036036036036037</v>
      </c>
      <c r="D36" s="6">
        <v>0.9009009009009009</v>
      </c>
      <c r="E36" s="6">
        <v>25.225225225225227</v>
      </c>
      <c r="F36" s="6">
        <v>0.0</v>
      </c>
      <c r="G36" s="6">
        <v>0.45045045045045046</v>
      </c>
      <c r="H36" s="6">
        <v>0.0</v>
      </c>
      <c r="I36" s="6">
        <v>0.45045045045045046</v>
      </c>
      <c r="J36" s="6">
        <v>2.2522522522522523</v>
      </c>
      <c r="K36" s="6">
        <v>100.0</v>
      </c>
      <c r="N36" s="3">
        <f>IFERROR(__xludf.DUMMYFUNCTION("""COMPUTED_VALUE"""),1988.0)</f>
        <v>1988</v>
      </c>
      <c r="O36" s="3" t="str">
        <f>IFERROR(__xludf.DUMMYFUNCTION("""COMPUTED_VALUE"""),"Homosexuální/bisexuální")</f>
        <v>Homosexuální/bisexuální</v>
      </c>
      <c r="P36" s="3">
        <f>IFERROR(__xludf.DUMMYFUNCTION("""COMPUTED_VALUE"""),57.1428571428572)</f>
        <v>57.14285714</v>
      </c>
    </row>
    <row r="37">
      <c r="A37" s="6">
        <v>2020.0</v>
      </c>
      <c r="B37" s="6">
        <v>57.37051792828685</v>
      </c>
      <c r="C37" s="6">
        <v>5.577689243027888</v>
      </c>
      <c r="D37" s="6">
        <v>0.398406374501992</v>
      </c>
      <c r="E37" s="6">
        <v>32.669322709163346</v>
      </c>
      <c r="F37" s="6">
        <v>0.0</v>
      </c>
      <c r="G37" s="6">
        <v>0.0</v>
      </c>
      <c r="H37" s="6">
        <v>0.0</v>
      </c>
      <c r="I37" s="6">
        <v>0.398406374501992</v>
      </c>
      <c r="J37" s="6">
        <v>3.585657370517928</v>
      </c>
      <c r="K37" s="6">
        <v>100.0</v>
      </c>
      <c r="N37" s="3">
        <f>IFERROR(__xludf.DUMMYFUNCTION("""COMPUTED_VALUE"""),1988.0)</f>
        <v>1988</v>
      </c>
      <c r="O37" s="3" t="str">
        <f>IFERROR(__xludf.DUMMYFUNCTION("""COMPUTED_VALUE"""),"Injekční uživatelé drog")</f>
        <v>Injekční uživatelé drog</v>
      </c>
      <c r="P37" s="3">
        <f>IFERROR(__xludf.DUMMYFUNCTION("""COMPUTED_VALUE"""),0.0)</f>
        <v>0</v>
      </c>
    </row>
    <row r="38">
      <c r="N38" s="3">
        <f>IFERROR(__xludf.DUMMYFUNCTION("""COMPUTED_VALUE"""),1988.0)</f>
        <v>1988</v>
      </c>
      <c r="O38" s="3" t="str">
        <f>IFERROR(__xludf.DUMMYFUNCTION("""COMPUTED_VALUE"""),"Injekční uživatelé drog + homo/bisex")</f>
        <v>Injekční uživatelé drog + homo/bisex</v>
      </c>
      <c r="P38" s="3">
        <f>IFERROR(__xludf.DUMMYFUNCTION("""COMPUTED_VALUE"""),0.0)</f>
        <v>0</v>
      </c>
    </row>
    <row r="39">
      <c r="N39" s="3">
        <f>IFERROR(__xludf.DUMMYFUNCTION("""COMPUTED_VALUE"""),1988.0)</f>
        <v>1988</v>
      </c>
      <c r="O39" s="3" t="str">
        <f>IFERROR(__xludf.DUMMYFUNCTION("""COMPUTED_VALUE"""),"Heterosexuální")</f>
        <v>Heterosexuální</v>
      </c>
      <c r="P39" s="3">
        <f>IFERROR(__xludf.DUMMYFUNCTION("""COMPUTED_VALUE"""),8.57142857142857)</f>
        <v>8.571428571</v>
      </c>
    </row>
    <row r="40">
      <c r="N40" s="3">
        <f>IFERROR(__xludf.DUMMYFUNCTION("""COMPUTED_VALUE"""),1988.0)</f>
        <v>1988</v>
      </c>
      <c r="O40" s="3" t="str">
        <f>IFERROR(__xludf.DUMMYFUNCTION("""COMPUTED_VALUE"""),"Hemofilici")</f>
        <v>Hemofilici</v>
      </c>
      <c r="P40" s="3">
        <f>IFERROR(__xludf.DUMMYFUNCTION("""COMPUTED_VALUE"""),2.85714285714286)</f>
        <v>2.857142857</v>
      </c>
    </row>
    <row r="41">
      <c r="N41" s="3">
        <f>IFERROR(__xludf.DUMMYFUNCTION("""COMPUTED_VALUE"""),1988.0)</f>
        <v>1988</v>
      </c>
      <c r="O41" s="3" t="str">
        <f>IFERROR(__xludf.DUMMYFUNCTION("""COMPUTED_VALUE"""),"Příjemci krve a krevních přípravků")</f>
        <v>Příjemci krve a krevních přípravků</v>
      </c>
      <c r="P41" s="3">
        <f>IFERROR(__xludf.DUMMYFUNCTION("""COMPUTED_VALUE"""),31.4285714285714)</f>
        <v>31.42857143</v>
      </c>
    </row>
    <row r="42">
      <c r="N42" s="3">
        <f>IFERROR(__xludf.DUMMYFUNCTION("""COMPUTED_VALUE"""),1988.0)</f>
        <v>1988</v>
      </c>
      <c r="O42" s="3" t="str">
        <f>IFERROR(__xludf.DUMMYFUNCTION("""COMPUTED_VALUE"""),"Z matky na dítě")</f>
        <v>Z matky na dítě</v>
      </c>
      <c r="P42" s="3">
        <f>IFERROR(__xludf.DUMMYFUNCTION("""COMPUTED_VALUE"""),0.0)</f>
        <v>0</v>
      </c>
    </row>
    <row r="43">
      <c r="N43" s="3">
        <f>IFERROR(__xludf.DUMMYFUNCTION("""COMPUTED_VALUE"""),1988.0)</f>
        <v>1988</v>
      </c>
      <c r="O43" s="3" t="str">
        <f>IFERROR(__xludf.DUMMYFUNCTION("""COMPUTED_VALUE"""),"Nozokomiální")</f>
        <v>Nozokomiální</v>
      </c>
      <c r="P43" s="3">
        <f>IFERROR(__xludf.DUMMYFUNCTION("""COMPUTED_VALUE"""),0.0)</f>
        <v>0</v>
      </c>
    </row>
    <row r="44">
      <c r="N44" s="3">
        <f>IFERROR(__xludf.DUMMYFUNCTION("""COMPUTED_VALUE"""),1988.0)</f>
        <v>1988</v>
      </c>
      <c r="O44" s="3" t="str">
        <f>IFERROR(__xludf.DUMMYFUNCTION("""COMPUTED_VALUE"""),"Nezjištěný/jiný")</f>
        <v>Nezjištěný/jiný</v>
      </c>
      <c r="P44" s="3">
        <f>IFERROR(__xludf.DUMMYFUNCTION("""COMPUTED_VALUE"""),0.0)</f>
        <v>0</v>
      </c>
    </row>
    <row r="45">
      <c r="N45" s="3">
        <f>IFERROR(__xludf.DUMMYFUNCTION("""COMPUTED_VALUE"""),1988.0)</f>
        <v>1988</v>
      </c>
      <c r="O45" s="3" t="str">
        <f>IFERROR(__xludf.DUMMYFUNCTION("""COMPUTED_VALUE"""),"Celkem")</f>
        <v>Celkem</v>
      </c>
      <c r="P45" s="3">
        <f>IFERROR(__xludf.DUMMYFUNCTION("""COMPUTED_VALUE"""),100.0)</f>
        <v>100</v>
      </c>
    </row>
    <row r="46">
      <c r="N46" s="3">
        <f>IFERROR(__xludf.DUMMYFUNCTION("""COMPUTED_VALUE"""),1989.0)</f>
        <v>1989</v>
      </c>
      <c r="O46" s="3" t="str">
        <f>IFERROR(__xludf.DUMMYFUNCTION("""COMPUTED_VALUE"""),"Homosexuální/bisexuální")</f>
        <v>Homosexuální/bisexuální</v>
      </c>
      <c r="P46" s="3">
        <f>IFERROR(__xludf.DUMMYFUNCTION("""COMPUTED_VALUE"""),75.0)</f>
        <v>75</v>
      </c>
    </row>
    <row r="47">
      <c r="N47" s="3">
        <f>IFERROR(__xludf.DUMMYFUNCTION("""COMPUTED_VALUE"""),1989.0)</f>
        <v>1989</v>
      </c>
      <c r="O47" s="3" t="str">
        <f>IFERROR(__xludf.DUMMYFUNCTION("""COMPUTED_VALUE"""),"Injekční uživatelé drog")</f>
        <v>Injekční uživatelé drog</v>
      </c>
      <c r="P47" s="3">
        <f>IFERROR(__xludf.DUMMYFUNCTION("""COMPUTED_VALUE"""),0.0)</f>
        <v>0</v>
      </c>
    </row>
    <row r="48">
      <c r="N48" s="3">
        <f>IFERROR(__xludf.DUMMYFUNCTION("""COMPUTED_VALUE"""),1989.0)</f>
        <v>1989</v>
      </c>
      <c r="O48" s="3" t="str">
        <f>IFERROR(__xludf.DUMMYFUNCTION("""COMPUTED_VALUE"""),"Injekční uživatelé drog + homo/bisex")</f>
        <v>Injekční uživatelé drog + homo/bisex</v>
      </c>
      <c r="P48" s="3">
        <f>IFERROR(__xludf.DUMMYFUNCTION("""COMPUTED_VALUE"""),0.0)</f>
        <v>0</v>
      </c>
    </row>
    <row r="49">
      <c r="N49" s="3">
        <f>IFERROR(__xludf.DUMMYFUNCTION("""COMPUTED_VALUE"""),1989.0)</f>
        <v>1989</v>
      </c>
      <c r="O49" s="3" t="str">
        <f>IFERROR(__xludf.DUMMYFUNCTION("""COMPUTED_VALUE"""),"Heterosexuální")</f>
        <v>Heterosexuální</v>
      </c>
      <c r="P49" s="3">
        <f>IFERROR(__xludf.DUMMYFUNCTION("""COMPUTED_VALUE"""),12.5)</f>
        <v>12.5</v>
      </c>
    </row>
    <row r="50">
      <c r="N50" s="3">
        <f>IFERROR(__xludf.DUMMYFUNCTION("""COMPUTED_VALUE"""),1989.0)</f>
        <v>1989</v>
      </c>
      <c r="O50" s="3" t="str">
        <f>IFERROR(__xludf.DUMMYFUNCTION("""COMPUTED_VALUE"""),"Hemofilici")</f>
        <v>Hemofilici</v>
      </c>
      <c r="P50" s="3">
        <f>IFERROR(__xludf.DUMMYFUNCTION("""COMPUTED_VALUE"""),0.0)</f>
        <v>0</v>
      </c>
    </row>
    <row r="51">
      <c r="N51" s="3">
        <f>IFERROR(__xludf.DUMMYFUNCTION("""COMPUTED_VALUE"""),1989.0)</f>
        <v>1989</v>
      </c>
      <c r="O51" s="3" t="str">
        <f>IFERROR(__xludf.DUMMYFUNCTION("""COMPUTED_VALUE"""),"Příjemci krve a krevních přípravků")</f>
        <v>Příjemci krve a krevních přípravků</v>
      </c>
      <c r="P51" s="3">
        <f>IFERROR(__xludf.DUMMYFUNCTION("""COMPUTED_VALUE"""),12.5)</f>
        <v>12.5</v>
      </c>
    </row>
    <row r="52">
      <c r="N52" s="3">
        <f>IFERROR(__xludf.DUMMYFUNCTION("""COMPUTED_VALUE"""),1989.0)</f>
        <v>1989</v>
      </c>
      <c r="O52" s="3" t="str">
        <f>IFERROR(__xludf.DUMMYFUNCTION("""COMPUTED_VALUE"""),"Z matky na dítě")</f>
        <v>Z matky na dítě</v>
      </c>
      <c r="P52" s="3">
        <f>IFERROR(__xludf.DUMMYFUNCTION("""COMPUTED_VALUE"""),0.0)</f>
        <v>0</v>
      </c>
    </row>
    <row r="53">
      <c r="N53" s="3">
        <f>IFERROR(__xludf.DUMMYFUNCTION("""COMPUTED_VALUE"""),1989.0)</f>
        <v>1989</v>
      </c>
      <c r="O53" s="3" t="str">
        <f>IFERROR(__xludf.DUMMYFUNCTION("""COMPUTED_VALUE"""),"Nozokomiální")</f>
        <v>Nozokomiální</v>
      </c>
      <c r="P53" s="3">
        <f>IFERROR(__xludf.DUMMYFUNCTION("""COMPUTED_VALUE"""),0.0)</f>
        <v>0</v>
      </c>
    </row>
    <row r="54">
      <c r="N54" s="3">
        <f>IFERROR(__xludf.DUMMYFUNCTION("""COMPUTED_VALUE"""),1989.0)</f>
        <v>1989</v>
      </c>
      <c r="O54" s="3" t="str">
        <f>IFERROR(__xludf.DUMMYFUNCTION("""COMPUTED_VALUE"""),"Nezjištěný/jiný")</f>
        <v>Nezjištěný/jiný</v>
      </c>
      <c r="P54" s="3">
        <f>IFERROR(__xludf.DUMMYFUNCTION("""COMPUTED_VALUE"""),0.0)</f>
        <v>0</v>
      </c>
    </row>
    <row r="55">
      <c r="N55" s="3">
        <f>IFERROR(__xludf.DUMMYFUNCTION("""COMPUTED_VALUE"""),1989.0)</f>
        <v>1989</v>
      </c>
      <c r="O55" s="3" t="str">
        <f>IFERROR(__xludf.DUMMYFUNCTION("""COMPUTED_VALUE"""),"Celkem")</f>
        <v>Celkem</v>
      </c>
      <c r="P55" s="3">
        <f>IFERROR(__xludf.DUMMYFUNCTION("""COMPUTED_VALUE"""),100.0)</f>
        <v>100</v>
      </c>
    </row>
    <row r="56">
      <c r="N56" s="3">
        <f>IFERROR(__xludf.DUMMYFUNCTION("""COMPUTED_VALUE"""),1990.0)</f>
        <v>1990</v>
      </c>
      <c r="O56" s="3" t="str">
        <f>IFERROR(__xludf.DUMMYFUNCTION("""COMPUTED_VALUE"""),"Homosexuální/bisexuální")</f>
        <v>Homosexuální/bisexuální</v>
      </c>
      <c r="P56" s="3">
        <f>IFERROR(__xludf.DUMMYFUNCTION("""COMPUTED_VALUE"""),73.3333333333333)</f>
        <v>73.33333333</v>
      </c>
    </row>
    <row r="57">
      <c r="N57" s="3">
        <f>IFERROR(__xludf.DUMMYFUNCTION("""COMPUTED_VALUE"""),1990.0)</f>
        <v>1990</v>
      </c>
      <c r="O57" s="3" t="str">
        <f>IFERROR(__xludf.DUMMYFUNCTION("""COMPUTED_VALUE"""),"Injekční uživatelé drog")</f>
        <v>Injekční uživatelé drog</v>
      </c>
      <c r="P57" s="3">
        <f>IFERROR(__xludf.DUMMYFUNCTION("""COMPUTED_VALUE"""),0.0)</f>
        <v>0</v>
      </c>
    </row>
    <row r="58">
      <c r="N58" s="3">
        <f>IFERROR(__xludf.DUMMYFUNCTION("""COMPUTED_VALUE"""),1990.0)</f>
        <v>1990</v>
      </c>
      <c r="O58" s="3" t="str">
        <f>IFERROR(__xludf.DUMMYFUNCTION("""COMPUTED_VALUE"""),"Injekční uživatelé drog + homo/bisex")</f>
        <v>Injekční uživatelé drog + homo/bisex</v>
      </c>
      <c r="P58" s="3">
        <f>IFERROR(__xludf.DUMMYFUNCTION("""COMPUTED_VALUE"""),0.0)</f>
        <v>0</v>
      </c>
    </row>
    <row r="59">
      <c r="N59" s="3">
        <f>IFERROR(__xludf.DUMMYFUNCTION("""COMPUTED_VALUE"""),1990.0)</f>
        <v>1990</v>
      </c>
      <c r="O59" s="3" t="str">
        <f>IFERROR(__xludf.DUMMYFUNCTION("""COMPUTED_VALUE"""),"Heterosexuální")</f>
        <v>Heterosexuální</v>
      </c>
      <c r="P59" s="3">
        <f>IFERROR(__xludf.DUMMYFUNCTION("""COMPUTED_VALUE"""),13.3333333333333)</f>
        <v>13.33333333</v>
      </c>
    </row>
    <row r="60">
      <c r="N60" s="3">
        <f>IFERROR(__xludf.DUMMYFUNCTION("""COMPUTED_VALUE"""),1990.0)</f>
        <v>1990</v>
      </c>
      <c r="O60" s="3" t="str">
        <f>IFERROR(__xludf.DUMMYFUNCTION("""COMPUTED_VALUE"""),"Hemofilici")</f>
        <v>Hemofilici</v>
      </c>
      <c r="P60" s="3">
        <f>IFERROR(__xludf.DUMMYFUNCTION("""COMPUTED_VALUE"""),0.0)</f>
        <v>0</v>
      </c>
    </row>
    <row r="61">
      <c r="N61" s="3">
        <f>IFERROR(__xludf.DUMMYFUNCTION("""COMPUTED_VALUE"""),1990.0)</f>
        <v>1990</v>
      </c>
      <c r="O61" s="3" t="str">
        <f>IFERROR(__xludf.DUMMYFUNCTION("""COMPUTED_VALUE"""),"Příjemci krve a krevních přípravků")</f>
        <v>Příjemci krve a krevních přípravků</v>
      </c>
      <c r="P61" s="3">
        <f>IFERROR(__xludf.DUMMYFUNCTION("""COMPUTED_VALUE"""),13.3333333333333)</f>
        <v>13.33333333</v>
      </c>
    </row>
    <row r="62">
      <c r="N62" s="3">
        <f>IFERROR(__xludf.DUMMYFUNCTION("""COMPUTED_VALUE"""),1990.0)</f>
        <v>1990</v>
      </c>
      <c r="O62" s="3" t="str">
        <f>IFERROR(__xludf.DUMMYFUNCTION("""COMPUTED_VALUE"""),"Z matky na dítě")</f>
        <v>Z matky na dítě</v>
      </c>
      <c r="P62" s="3">
        <f>IFERROR(__xludf.DUMMYFUNCTION("""COMPUTED_VALUE"""),0.0)</f>
        <v>0</v>
      </c>
    </row>
    <row r="63">
      <c r="N63" s="3">
        <f>IFERROR(__xludf.DUMMYFUNCTION("""COMPUTED_VALUE"""),1990.0)</f>
        <v>1990</v>
      </c>
      <c r="O63" s="3" t="str">
        <f>IFERROR(__xludf.DUMMYFUNCTION("""COMPUTED_VALUE"""),"Nozokomiální")</f>
        <v>Nozokomiální</v>
      </c>
      <c r="P63" s="3">
        <f>IFERROR(__xludf.DUMMYFUNCTION("""COMPUTED_VALUE"""),0.0)</f>
        <v>0</v>
      </c>
    </row>
    <row r="64">
      <c r="N64" s="3">
        <f>IFERROR(__xludf.DUMMYFUNCTION("""COMPUTED_VALUE"""),1990.0)</f>
        <v>1990</v>
      </c>
      <c r="O64" s="3" t="str">
        <f>IFERROR(__xludf.DUMMYFUNCTION("""COMPUTED_VALUE"""),"Nezjištěný/jiný")</f>
        <v>Nezjištěný/jiný</v>
      </c>
      <c r="P64" s="3">
        <f>IFERROR(__xludf.DUMMYFUNCTION("""COMPUTED_VALUE"""),0.0)</f>
        <v>0</v>
      </c>
    </row>
    <row r="65">
      <c r="N65" s="3">
        <f>IFERROR(__xludf.DUMMYFUNCTION("""COMPUTED_VALUE"""),1990.0)</f>
        <v>1990</v>
      </c>
      <c r="O65" s="3" t="str">
        <f>IFERROR(__xludf.DUMMYFUNCTION("""COMPUTED_VALUE"""),"Celkem")</f>
        <v>Celkem</v>
      </c>
      <c r="P65" s="3">
        <f>IFERROR(__xludf.DUMMYFUNCTION("""COMPUTED_VALUE"""),100.0)</f>
        <v>100</v>
      </c>
    </row>
    <row r="66">
      <c r="N66" s="3">
        <f>IFERROR(__xludf.DUMMYFUNCTION("""COMPUTED_VALUE"""),1991.0)</f>
        <v>1991</v>
      </c>
      <c r="O66" s="3" t="str">
        <f>IFERROR(__xludf.DUMMYFUNCTION("""COMPUTED_VALUE"""),"Homosexuální/bisexuální")</f>
        <v>Homosexuální/bisexuální</v>
      </c>
      <c r="P66" s="3">
        <f>IFERROR(__xludf.DUMMYFUNCTION("""COMPUTED_VALUE"""),69.2307692307692)</f>
        <v>69.23076923</v>
      </c>
    </row>
    <row r="67">
      <c r="N67" s="3">
        <f>IFERROR(__xludf.DUMMYFUNCTION("""COMPUTED_VALUE"""),1991.0)</f>
        <v>1991</v>
      </c>
      <c r="O67" s="3" t="str">
        <f>IFERROR(__xludf.DUMMYFUNCTION("""COMPUTED_VALUE"""),"Injekční uživatelé drog")</f>
        <v>Injekční uživatelé drog</v>
      </c>
      <c r="P67" s="3">
        <f>IFERROR(__xludf.DUMMYFUNCTION("""COMPUTED_VALUE"""),7.69230769230769)</f>
        <v>7.692307692</v>
      </c>
    </row>
    <row r="68">
      <c r="N68" s="3">
        <f>IFERROR(__xludf.DUMMYFUNCTION("""COMPUTED_VALUE"""),1991.0)</f>
        <v>1991</v>
      </c>
      <c r="O68" s="3" t="str">
        <f>IFERROR(__xludf.DUMMYFUNCTION("""COMPUTED_VALUE"""),"Injekční uživatelé drog + homo/bisex")</f>
        <v>Injekční uživatelé drog + homo/bisex</v>
      </c>
      <c r="P68" s="3">
        <f>IFERROR(__xludf.DUMMYFUNCTION("""COMPUTED_VALUE"""),0.0)</f>
        <v>0</v>
      </c>
    </row>
    <row r="69">
      <c r="N69" s="3">
        <f>IFERROR(__xludf.DUMMYFUNCTION("""COMPUTED_VALUE"""),1991.0)</f>
        <v>1991</v>
      </c>
      <c r="O69" s="3" t="str">
        <f>IFERROR(__xludf.DUMMYFUNCTION("""COMPUTED_VALUE"""),"Heterosexuální")</f>
        <v>Heterosexuální</v>
      </c>
      <c r="P69" s="3">
        <f>IFERROR(__xludf.DUMMYFUNCTION("""COMPUTED_VALUE"""),15.3846153846154)</f>
        <v>15.38461538</v>
      </c>
    </row>
    <row r="70">
      <c r="N70" s="3">
        <f>IFERROR(__xludf.DUMMYFUNCTION("""COMPUTED_VALUE"""),1991.0)</f>
        <v>1991</v>
      </c>
      <c r="O70" s="3" t="str">
        <f>IFERROR(__xludf.DUMMYFUNCTION("""COMPUTED_VALUE"""),"Hemofilici")</f>
        <v>Hemofilici</v>
      </c>
      <c r="P70" s="3">
        <f>IFERROR(__xludf.DUMMYFUNCTION("""COMPUTED_VALUE"""),0.0)</f>
        <v>0</v>
      </c>
    </row>
    <row r="71">
      <c r="N71" s="3">
        <f>IFERROR(__xludf.DUMMYFUNCTION("""COMPUTED_VALUE"""),1991.0)</f>
        <v>1991</v>
      </c>
      <c r="O71" s="3" t="str">
        <f>IFERROR(__xludf.DUMMYFUNCTION("""COMPUTED_VALUE"""),"Příjemci krve a krevních přípravků")</f>
        <v>Příjemci krve a krevních přípravků</v>
      </c>
      <c r="P71" s="3">
        <f>IFERROR(__xludf.DUMMYFUNCTION("""COMPUTED_VALUE"""),0.0)</f>
        <v>0</v>
      </c>
    </row>
    <row r="72">
      <c r="N72" s="3">
        <f>IFERROR(__xludf.DUMMYFUNCTION("""COMPUTED_VALUE"""),1991.0)</f>
        <v>1991</v>
      </c>
      <c r="O72" s="3" t="str">
        <f>IFERROR(__xludf.DUMMYFUNCTION("""COMPUTED_VALUE"""),"Z matky na dítě")</f>
        <v>Z matky na dítě</v>
      </c>
      <c r="P72" s="3">
        <f>IFERROR(__xludf.DUMMYFUNCTION("""COMPUTED_VALUE"""),0.0)</f>
        <v>0</v>
      </c>
    </row>
    <row r="73">
      <c r="N73" s="3">
        <f>IFERROR(__xludf.DUMMYFUNCTION("""COMPUTED_VALUE"""),1991.0)</f>
        <v>1991</v>
      </c>
      <c r="O73" s="3" t="str">
        <f>IFERROR(__xludf.DUMMYFUNCTION("""COMPUTED_VALUE"""),"Nozokomiální")</f>
        <v>Nozokomiální</v>
      </c>
      <c r="P73" s="3">
        <f>IFERROR(__xludf.DUMMYFUNCTION("""COMPUTED_VALUE"""),0.0)</f>
        <v>0</v>
      </c>
    </row>
    <row r="74">
      <c r="N74" s="3">
        <f>IFERROR(__xludf.DUMMYFUNCTION("""COMPUTED_VALUE"""),1991.0)</f>
        <v>1991</v>
      </c>
      <c r="O74" s="3" t="str">
        <f>IFERROR(__xludf.DUMMYFUNCTION("""COMPUTED_VALUE"""),"Nezjištěný/jiný")</f>
        <v>Nezjištěný/jiný</v>
      </c>
      <c r="P74" s="3">
        <f>IFERROR(__xludf.DUMMYFUNCTION("""COMPUTED_VALUE"""),7.69230769230769)</f>
        <v>7.692307692</v>
      </c>
    </row>
    <row r="75">
      <c r="N75" s="3">
        <f>IFERROR(__xludf.DUMMYFUNCTION("""COMPUTED_VALUE"""),1991.0)</f>
        <v>1991</v>
      </c>
      <c r="O75" s="3" t="str">
        <f>IFERROR(__xludf.DUMMYFUNCTION("""COMPUTED_VALUE"""),"Celkem")</f>
        <v>Celkem</v>
      </c>
      <c r="P75" s="3">
        <f>IFERROR(__xludf.DUMMYFUNCTION("""COMPUTED_VALUE"""),100.0)</f>
        <v>100</v>
      </c>
    </row>
    <row r="76">
      <c r="N76" s="3">
        <f>IFERROR(__xludf.DUMMYFUNCTION("""COMPUTED_VALUE"""),1992.0)</f>
        <v>1992</v>
      </c>
      <c r="O76" s="3" t="str">
        <f>IFERROR(__xludf.DUMMYFUNCTION("""COMPUTED_VALUE"""),"Homosexuální/bisexuální")</f>
        <v>Homosexuální/bisexuální</v>
      </c>
      <c r="P76" s="3">
        <f>IFERROR(__xludf.DUMMYFUNCTION("""COMPUTED_VALUE"""),69.5652173913044)</f>
        <v>69.56521739</v>
      </c>
    </row>
    <row r="77">
      <c r="N77" s="3">
        <f>IFERROR(__xludf.DUMMYFUNCTION("""COMPUTED_VALUE"""),1992.0)</f>
        <v>1992</v>
      </c>
      <c r="O77" s="3" t="str">
        <f>IFERROR(__xludf.DUMMYFUNCTION("""COMPUTED_VALUE"""),"Injekční uživatelé drog")</f>
        <v>Injekční uživatelé drog</v>
      </c>
      <c r="P77" s="3">
        <f>IFERROR(__xludf.DUMMYFUNCTION("""COMPUTED_VALUE"""),0.0)</f>
        <v>0</v>
      </c>
    </row>
    <row r="78">
      <c r="N78" s="3">
        <f>IFERROR(__xludf.DUMMYFUNCTION("""COMPUTED_VALUE"""),1992.0)</f>
        <v>1992</v>
      </c>
      <c r="O78" s="3" t="str">
        <f>IFERROR(__xludf.DUMMYFUNCTION("""COMPUTED_VALUE"""),"Injekční uživatelé drog + homo/bisex")</f>
        <v>Injekční uživatelé drog + homo/bisex</v>
      </c>
      <c r="P78" s="3">
        <f>IFERROR(__xludf.DUMMYFUNCTION("""COMPUTED_VALUE"""),0.0)</f>
        <v>0</v>
      </c>
    </row>
    <row r="79">
      <c r="N79" s="3">
        <f>IFERROR(__xludf.DUMMYFUNCTION("""COMPUTED_VALUE"""),1992.0)</f>
        <v>1992</v>
      </c>
      <c r="O79" s="3" t="str">
        <f>IFERROR(__xludf.DUMMYFUNCTION("""COMPUTED_VALUE"""),"Heterosexuální")</f>
        <v>Heterosexuální</v>
      </c>
      <c r="P79" s="3">
        <f>IFERROR(__xludf.DUMMYFUNCTION("""COMPUTED_VALUE"""),26.0869565217391)</f>
        <v>26.08695652</v>
      </c>
    </row>
    <row r="80">
      <c r="N80" s="3">
        <f>IFERROR(__xludf.DUMMYFUNCTION("""COMPUTED_VALUE"""),1992.0)</f>
        <v>1992</v>
      </c>
      <c r="O80" s="3" t="str">
        <f>IFERROR(__xludf.DUMMYFUNCTION("""COMPUTED_VALUE"""),"Hemofilici")</f>
        <v>Hemofilici</v>
      </c>
      <c r="P80" s="3">
        <f>IFERROR(__xludf.DUMMYFUNCTION("""COMPUTED_VALUE"""),0.0)</f>
        <v>0</v>
      </c>
    </row>
    <row r="81">
      <c r="N81" s="3">
        <f>IFERROR(__xludf.DUMMYFUNCTION("""COMPUTED_VALUE"""),1992.0)</f>
        <v>1992</v>
      </c>
      <c r="O81" s="3" t="str">
        <f>IFERROR(__xludf.DUMMYFUNCTION("""COMPUTED_VALUE"""),"Příjemci krve a krevních přípravků")</f>
        <v>Příjemci krve a krevních přípravků</v>
      </c>
      <c r="P81" s="3">
        <f>IFERROR(__xludf.DUMMYFUNCTION("""COMPUTED_VALUE"""),0.0)</f>
        <v>0</v>
      </c>
    </row>
    <row r="82">
      <c r="N82" s="3">
        <f>IFERROR(__xludf.DUMMYFUNCTION("""COMPUTED_VALUE"""),1992.0)</f>
        <v>1992</v>
      </c>
      <c r="O82" s="3" t="str">
        <f>IFERROR(__xludf.DUMMYFUNCTION("""COMPUTED_VALUE"""),"Z matky na dítě")</f>
        <v>Z matky na dítě</v>
      </c>
      <c r="P82" s="3">
        <f>IFERROR(__xludf.DUMMYFUNCTION("""COMPUTED_VALUE"""),0.0)</f>
        <v>0</v>
      </c>
    </row>
    <row r="83">
      <c r="N83" s="3">
        <f>IFERROR(__xludf.DUMMYFUNCTION("""COMPUTED_VALUE"""),1992.0)</f>
        <v>1992</v>
      </c>
      <c r="O83" s="3" t="str">
        <f>IFERROR(__xludf.DUMMYFUNCTION("""COMPUTED_VALUE"""),"Nozokomiální")</f>
        <v>Nozokomiální</v>
      </c>
      <c r="P83" s="3">
        <f>IFERROR(__xludf.DUMMYFUNCTION("""COMPUTED_VALUE"""),0.0)</f>
        <v>0</v>
      </c>
    </row>
    <row r="84">
      <c r="N84" s="3">
        <f>IFERROR(__xludf.DUMMYFUNCTION("""COMPUTED_VALUE"""),1992.0)</f>
        <v>1992</v>
      </c>
      <c r="O84" s="3" t="str">
        <f>IFERROR(__xludf.DUMMYFUNCTION("""COMPUTED_VALUE"""),"Nezjištěný/jiný")</f>
        <v>Nezjištěný/jiný</v>
      </c>
      <c r="P84" s="3">
        <f>IFERROR(__xludf.DUMMYFUNCTION("""COMPUTED_VALUE"""),4.34782608695652)</f>
        <v>4.347826087</v>
      </c>
    </row>
    <row r="85">
      <c r="N85" s="3">
        <f>IFERROR(__xludf.DUMMYFUNCTION("""COMPUTED_VALUE"""),1992.0)</f>
        <v>1992</v>
      </c>
      <c r="O85" s="3" t="str">
        <f>IFERROR(__xludf.DUMMYFUNCTION("""COMPUTED_VALUE"""),"Celkem")</f>
        <v>Celkem</v>
      </c>
      <c r="P85" s="3">
        <f>IFERROR(__xludf.DUMMYFUNCTION("""COMPUTED_VALUE"""),100.0)</f>
        <v>100</v>
      </c>
    </row>
    <row r="86">
      <c r="N86" s="3">
        <f>IFERROR(__xludf.DUMMYFUNCTION("""COMPUTED_VALUE"""),1993.0)</f>
        <v>1993</v>
      </c>
      <c r="O86" s="3" t="str">
        <f>IFERROR(__xludf.DUMMYFUNCTION("""COMPUTED_VALUE"""),"Homosexuální/bisexuální")</f>
        <v>Homosexuální/bisexuální</v>
      </c>
      <c r="P86" s="3">
        <f>IFERROR(__xludf.DUMMYFUNCTION("""COMPUTED_VALUE"""),51.8518518518519)</f>
        <v>51.85185185</v>
      </c>
    </row>
    <row r="87">
      <c r="N87" s="3">
        <f>IFERROR(__xludf.DUMMYFUNCTION("""COMPUTED_VALUE"""),1993.0)</f>
        <v>1993</v>
      </c>
      <c r="O87" s="3" t="str">
        <f>IFERROR(__xludf.DUMMYFUNCTION("""COMPUTED_VALUE"""),"Injekční uživatelé drog")</f>
        <v>Injekční uživatelé drog</v>
      </c>
      <c r="P87" s="3">
        <f>IFERROR(__xludf.DUMMYFUNCTION("""COMPUTED_VALUE"""),7.40740740740741)</f>
        <v>7.407407407</v>
      </c>
    </row>
    <row r="88">
      <c r="N88" s="3">
        <f>IFERROR(__xludf.DUMMYFUNCTION("""COMPUTED_VALUE"""),1993.0)</f>
        <v>1993</v>
      </c>
      <c r="O88" s="3" t="str">
        <f>IFERROR(__xludf.DUMMYFUNCTION("""COMPUTED_VALUE"""),"Injekční uživatelé drog + homo/bisex")</f>
        <v>Injekční uživatelé drog + homo/bisex</v>
      </c>
      <c r="P88" s="3">
        <f>IFERROR(__xludf.DUMMYFUNCTION("""COMPUTED_VALUE"""),0.0)</f>
        <v>0</v>
      </c>
    </row>
    <row r="89">
      <c r="N89" s="3">
        <f>IFERROR(__xludf.DUMMYFUNCTION("""COMPUTED_VALUE"""),1993.0)</f>
        <v>1993</v>
      </c>
      <c r="O89" s="3" t="str">
        <f>IFERROR(__xludf.DUMMYFUNCTION("""COMPUTED_VALUE"""),"Heterosexuální")</f>
        <v>Heterosexuální</v>
      </c>
      <c r="P89" s="3">
        <f>IFERROR(__xludf.DUMMYFUNCTION("""COMPUTED_VALUE"""),33.3333333333333)</f>
        <v>33.33333333</v>
      </c>
    </row>
    <row r="90">
      <c r="N90" s="3">
        <f>IFERROR(__xludf.DUMMYFUNCTION("""COMPUTED_VALUE"""),1993.0)</f>
        <v>1993</v>
      </c>
      <c r="O90" s="3" t="str">
        <f>IFERROR(__xludf.DUMMYFUNCTION("""COMPUTED_VALUE"""),"Hemofilici")</f>
        <v>Hemofilici</v>
      </c>
      <c r="P90" s="3">
        <f>IFERROR(__xludf.DUMMYFUNCTION("""COMPUTED_VALUE"""),0.0)</f>
        <v>0</v>
      </c>
    </row>
    <row r="91">
      <c r="N91" s="3">
        <f>IFERROR(__xludf.DUMMYFUNCTION("""COMPUTED_VALUE"""),1993.0)</f>
        <v>1993</v>
      </c>
      <c r="O91" s="3" t="str">
        <f>IFERROR(__xludf.DUMMYFUNCTION("""COMPUTED_VALUE"""),"Příjemci krve a krevních přípravků")</f>
        <v>Příjemci krve a krevních přípravků</v>
      </c>
      <c r="P91" s="3">
        <f>IFERROR(__xludf.DUMMYFUNCTION("""COMPUTED_VALUE"""),0.0)</f>
        <v>0</v>
      </c>
    </row>
    <row r="92">
      <c r="N92" s="3">
        <f>IFERROR(__xludf.DUMMYFUNCTION("""COMPUTED_VALUE"""),1993.0)</f>
        <v>1993</v>
      </c>
      <c r="O92" s="3" t="str">
        <f>IFERROR(__xludf.DUMMYFUNCTION("""COMPUTED_VALUE"""),"Z matky na dítě")</f>
        <v>Z matky na dítě</v>
      </c>
      <c r="P92" s="3">
        <f>IFERROR(__xludf.DUMMYFUNCTION("""COMPUTED_VALUE"""),0.0)</f>
        <v>0</v>
      </c>
    </row>
    <row r="93">
      <c r="N93" s="3">
        <f>IFERROR(__xludf.DUMMYFUNCTION("""COMPUTED_VALUE"""),1993.0)</f>
        <v>1993</v>
      </c>
      <c r="O93" s="3" t="str">
        <f>IFERROR(__xludf.DUMMYFUNCTION("""COMPUTED_VALUE"""),"Nozokomiální")</f>
        <v>Nozokomiální</v>
      </c>
      <c r="P93" s="3">
        <f>IFERROR(__xludf.DUMMYFUNCTION("""COMPUTED_VALUE"""),0.0)</f>
        <v>0</v>
      </c>
    </row>
    <row r="94">
      <c r="N94" s="3">
        <f>IFERROR(__xludf.DUMMYFUNCTION("""COMPUTED_VALUE"""),1993.0)</f>
        <v>1993</v>
      </c>
      <c r="O94" s="3" t="str">
        <f>IFERROR(__xludf.DUMMYFUNCTION("""COMPUTED_VALUE"""),"Nezjištěný/jiný")</f>
        <v>Nezjištěný/jiný</v>
      </c>
      <c r="P94" s="3">
        <f>IFERROR(__xludf.DUMMYFUNCTION("""COMPUTED_VALUE"""),7.40740740740741)</f>
        <v>7.407407407</v>
      </c>
    </row>
    <row r="95">
      <c r="N95" s="3">
        <f>IFERROR(__xludf.DUMMYFUNCTION("""COMPUTED_VALUE"""),1993.0)</f>
        <v>1993</v>
      </c>
      <c r="O95" s="3" t="str">
        <f>IFERROR(__xludf.DUMMYFUNCTION("""COMPUTED_VALUE"""),"Celkem")</f>
        <v>Celkem</v>
      </c>
      <c r="P95" s="3">
        <f>IFERROR(__xludf.DUMMYFUNCTION("""COMPUTED_VALUE"""),100.0)</f>
        <v>100</v>
      </c>
    </row>
    <row r="96">
      <c r="N96" s="3">
        <f>IFERROR(__xludf.DUMMYFUNCTION("""COMPUTED_VALUE"""),1994.0)</f>
        <v>1994</v>
      </c>
      <c r="O96" s="3" t="str">
        <f>IFERROR(__xludf.DUMMYFUNCTION("""COMPUTED_VALUE"""),"Homosexuální/bisexuální")</f>
        <v>Homosexuální/bisexuální</v>
      </c>
      <c r="P96" s="3">
        <f>IFERROR(__xludf.DUMMYFUNCTION("""COMPUTED_VALUE"""),47.3684210526316)</f>
        <v>47.36842105</v>
      </c>
    </row>
    <row r="97">
      <c r="N97" s="3">
        <f>IFERROR(__xludf.DUMMYFUNCTION("""COMPUTED_VALUE"""),1994.0)</f>
        <v>1994</v>
      </c>
      <c r="O97" s="3" t="str">
        <f>IFERROR(__xludf.DUMMYFUNCTION("""COMPUTED_VALUE"""),"Injekční uživatelé drog")</f>
        <v>Injekční uživatelé drog</v>
      </c>
      <c r="P97" s="3">
        <f>IFERROR(__xludf.DUMMYFUNCTION("""COMPUTED_VALUE"""),5.26315789473684)</f>
        <v>5.263157895</v>
      </c>
    </row>
    <row r="98">
      <c r="N98" s="3">
        <f>IFERROR(__xludf.DUMMYFUNCTION("""COMPUTED_VALUE"""),1994.0)</f>
        <v>1994</v>
      </c>
      <c r="O98" s="3" t="str">
        <f>IFERROR(__xludf.DUMMYFUNCTION("""COMPUTED_VALUE"""),"Injekční uživatelé drog + homo/bisex")</f>
        <v>Injekční uživatelé drog + homo/bisex</v>
      </c>
      <c r="P98" s="3">
        <f>IFERROR(__xludf.DUMMYFUNCTION("""COMPUTED_VALUE"""),0.0)</f>
        <v>0</v>
      </c>
    </row>
    <row r="99">
      <c r="N99" s="3">
        <f>IFERROR(__xludf.DUMMYFUNCTION("""COMPUTED_VALUE"""),1994.0)</f>
        <v>1994</v>
      </c>
      <c r="O99" s="3" t="str">
        <f>IFERROR(__xludf.DUMMYFUNCTION("""COMPUTED_VALUE"""),"Heterosexuální")</f>
        <v>Heterosexuální</v>
      </c>
      <c r="P99" s="3">
        <f>IFERROR(__xludf.DUMMYFUNCTION("""COMPUTED_VALUE"""),42.1052631578947)</f>
        <v>42.10526316</v>
      </c>
    </row>
    <row r="100">
      <c r="N100" s="3">
        <f>IFERROR(__xludf.DUMMYFUNCTION("""COMPUTED_VALUE"""),1994.0)</f>
        <v>1994</v>
      </c>
      <c r="O100" s="3" t="str">
        <f>IFERROR(__xludf.DUMMYFUNCTION("""COMPUTED_VALUE"""),"Hemofilici")</f>
        <v>Hemofilici</v>
      </c>
      <c r="P100" s="3">
        <f>IFERROR(__xludf.DUMMYFUNCTION("""COMPUTED_VALUE"""),2.63157894736842)</f>
        <v>2.631578947</v>
      </c>
    </row>
    <row r="101">
      <c r="N101" s="3">
        <f>IFERROR(__xludf.DUMMYFUNCTION("""COMPUTED_VALUE"""),1994.0)</f>
        <v>1994</v>
      </c>
      <c r="O101" s="3" t="str">
        <f>IFERROR(__xludf.DUMMYFUNCTION("""COMPUTED_VALUE"""),"Příjemci krve a krevních přípravků")</f>
        <v>Příjemci krve a krevních přípravků</v>
      </c>
      <c r="P101" s="3">
        <f>IFERROR(__xludf.DUMMYFUNCTION("""COMPUTED_VALUE"""),0.0)</f>
        <v>0</v>
      </c>
    </row>
    <row r="102">
      <c r="N102" s="3">
        <f>IFERROR(__xludf.DUMMYFUNCTION("""COMPUTED_VALUE"""),1994.0)</f>
        <v>1994</v>
      </c>
      <c r="O102" s="3" t="str">
        <f>IFERROR(__xludf.DUMMYFUNCTION("""COMPUTED_VALUE"""),"Z matky na dítě")</f>
        <v>Z matky na dítě</v>
      </c>
      <c r="P102" s="3">
        <f>IFERROR(__xludf.DUMMYFUNCTION("""COMPUTED_VALUE"""),0.0)</f>
        <v>0</v>
      </c>
    </row>
    <row r="103">
      <c r="N103" s="3">
        <f>IFERROR(__xludf.DUMMYFUNCTION("""COMPUTED_VALUE"""),1994.0)</f>
        <v>1994</v>
      </c>
      <c r="O103" s="3" t="str">
        <f>IFERROR(__xludf.DUMMYFUNCTION("""COMPUTED_VALUE"""),"Nozokomiální")</f>
        <v>Nozokomiální</v>
      </c>
      <c r="P103" s="3">
        <f>IFERROR(__xludf.DUMMYFUNCTION("""COMPUTED_VALUE"""),0.0)</f>
        <v>0</v>
      </c>
    </row>
    <row r="104">
      <c r="N104" s="3">
        <f>IFERROR(__xludf.DUMMYFUNCTION("""COMPUTED_VALUE"""),1994.0)</f>
        <v>1994</v>
      </c>
      <c r="O104" s="3" t="str">
        <f>IFERROR(__xludf.DUMMYFUNCTION("""COMPUTED_VALUE"""),"Nezjištěný/jiný")</f>
        <v>Nezjištěný/jiný</v>
      </c>
      <c r="P104" s="3">
        <f>IFERROR(__xludf.DUMMYFUNCTION("""COMPUTED_VALUE"""),2.63157894736842)</f>
        <v>2.631578947</v>
      </c>
    </row>
    <row r="105">
      <c r="N105" s="3">
        <f>IFERROR(__xludf.DUMMYFUNCTION("""COMPUTED_VALUE"""),1994.0)</f>
        <v>1994</v>
      </c>
      <c r="O105" s="3" t="str">
        <f>IFERROR(__xludf.DUMMYFUNCTION("""COMPUTED_VALUE"""),"Celkem")</f>
        <v>Celkem</v>
      </c>
      <c r="P105" s="3">
        <f>IFERROR(__xludf.DUMMYFUNCTION("""COMPUTED_VALUE"""),100.0)</f>
        <v>100</v>
      </c>
    </row>
    <row r="106">
      <c r="N106" s="3">
        <f>IFERROR(__xludf.DUMMYFUNCTION("""COMPUTED_VALUE"""),1995.0)</f>
        <v>1995</v>
      </c>
      <c r="O106" s="3" t="str">
        <f>IFERROR(__xludf.DUMMYFUNCTION("""COMPUTED_VALUE"""),"Homosexuální/bisexuální")</f>
        <v>Homosexuální/bisexuální</v>
      </c>
      <c r="P106" s="3">
        <f>IFERROR(__xludf.DUMMYFUNCTION("""COMPUTED_VALUE"""),35.0)</f>
        <v>35</v>
      </c>
    </row>
    <row r="107">
      <c r="N107" s="3">
        <f>IFERROR(__xludf.DUMMYFUNCTION("""COMPUTED_VALUE"""),1995.0)</f>
        <v>1995</v>
      </c>
      <c r="O107" s="3" t="str">
        <f>IFERROR(__xludf.DUMMYFUNCTION("""COMPUTED_VALUE"""),"Injekční uživatelé drog")</f>
        <v>Injekční uživatelé drog</v>
      </c>
      <c r="P107" s="3">
        <f>IFERROR(__xludf.DUMMYFUNCTION("""COMPUTED_VALUE"""),7.5)</f>
        <v>7.5</v>
      </c>
    </row>
    <row r="108">
      <c r="N108" s="3">
        <f>IFERROR(__xludf.DUMMYFUNCTION("""COMPUTED_VALUE"""),1995.0)</f>
        <v>1995</v>
      </c>
      <c r="O108" s="3" t="str">
        <f>IFERROR(__xludf.DUMMYFUNCTION("""COMPUTED_VALUE"""),"Injekční uživatelé drog + homo/bisex")</f>
        <v>Injekční uživatelé drog + homo/bisex</v>
      </c>
      <c r="P108" s="3">
        <f>IFERROR(__xludf.DUMMYFUNCTION("""COMPUTED_VALUE"""),2.5)</f>
        <v>2.5</v>
      </c>
    </row>
    <row r="109">
      <c r="N109" s="3">
        <f>IFERROR(__xludf.DUMMYFUNCTION("""COMPUTED_VALUE"""),1995.0)</f>
        <v>1995</v>
      </c>
      <c r="O109" s="3" t="str">
        <f>IFERROR(__xludf.DUMMYFUNCTION("""COMPUTED_VALUE"""),"Heterosexuální")</f>
        <v>Heterosexuální</v>
      </c>
      <c r="P109" s="3">
        <f>IFERROR(__xludf.DUMMYFUNCTION("""COMPUTED_VALUE"""),47.5)</f>
        <v>47.5</v>
      </c>
    </row>
    <row r="110">
      <c r="N110" s="3">
        <f>IFERROR(__xludf.DUMMYFUNCTION("""COMPUTED_VALUE"""),1995.0)</f>
        <v>1995</v>
      </c>
      <c r="O110" s="3" t="str">
        <f>IFERROR(__xludf.DUMMYFUNCTION("""COMPUTED_VALUE"""),"Hemofilici")</f>
        <v>Hemofilici</v>
      </c>
      <c r="P110" s="3">
        <f>IFERROR(__xludf.DUMMYFUNCTION("""COMPUTED_VALUE"""),0.0)</f>
        <v>0</v>
      </c>
    </row>
    <row r="111">
      <c r="N111" s="3">
        <f>IFERROR(__xludf.DUMMYFUNCTION("""COMPUTED_VALUE"""),1995.0)</f>
        <v>1995</v>
      </c>
      <c r="O111" s="3" t="str">
        <f>IFERROR(__xludf.DUMMYFUNCTION("""COMPUTED_VALUE"""),"Příjemci krve a krevních přípravků")</f>
        <v>Příjemci krve a krevních přípravků</v>
      </c>
      <c r="P111" s="3">
        <f>IFERROR(__xludf.DUMMYFUNCTION("""COMPUTED_VALUE"""),0.0)</f>
        <v>0</v>
      </c>
    </row>
    <row r="112">
      <c r="N112" s="3">
        <f>IFERROR(__xludf.DUMMYFUNCTION("""COMPUTED_VALUE"""),1995.0)</f>
        <v>1995</v>
      </c>
      <c r="O112" s="3" t="str">
        <f>IFERROR(__xludf.DUMMYFUNCTION("""COMPUTED_VALUE"""),"Z matky na dítě")</f>
        <v>Z matky na dítě</v>
      </c>
      <c r="P112" s="3">
        <f>IFERROR(__xludf.DUMMYFUNCTION("""COMPUTED_VALUE"""),0.0)</f>
        <v>0</v>
      </c>
    </row>
    <row r="113">
      <c r="N113" s="3">
        <f>IFERROR(__xludf.DUMMYFUNCTION("""COMPUTED_VALUE"""),1995.0)</f>
        <v>1995</v>
      </c>
      <c r="O113" s="3" t="str">
        <f>IFERROR(__xludf.DUMMYFUNCTION("""COMPUTED_VALUE"""),"Nozokomiální")</f>
        <v>Nozokomiální</v>
      </c>
      <c r="P113" s="3">
        <f>IFERROR(__xludf.DUMMYFUNCTION("""COMPUTED_VALUE"""),0.0)</f>
        <v>0</v>
      </c>
    </row>
    <row r="114">
      <c r="N114" s="3">
        <f>IFERROR(__xludf.DUMMYFUNCTION("""COMPUTED_VALUE"""),1995.0)</f>
        <v>1995</v>
      </c>
      <c r="O114" s="3" t="str">
        <f>IFERROR(__xludf.DUMMYFUNCTION("""COMPUTED_VALUE"""),"Nezjištěný/jiný")</f>
        <v>Nezjištěný/jiný</v>
      </c>
      <c r="P114" s="3">
        <f>IFERROR(__xludf.DUMMYFUNCTION("""COMPUTED_VALUE"""),7.5)</f>
        <v>7.5</v>
      </c>
    </row>
    <row r="115">
      <c r="N115" s="3">
        <f>IFERROR(__xludf.DUMMYFUNCTION("""COMPUTED_VALUE"""),1995.0)</f>
        <v>1995</v>
      </c>
      <c r="O115" s="3" t="str">
        <f>IFERROR(__xludf.DUMMYFUNCTION("""COMPUTED_VALUE"""),"Celkem")</f>
        <v>Celkem</v>
      </c>
      <c r="P115" s="3">
        <f>IFERROR(__xludf.DUMMYFUNCTION("""COMPUTED_VALUE"""),100.0)</f>
        <v>100</v>
      </c>
    </row>
    <row r="116">
      <c r="N116" s="3">
        <f>IFERROR(__xludf.DUMMYFUNCTION("""COMPUTED_VALUE"""),1996.0)</f>
        <v>1996</v>
      </c>
      <c r="O116" s="3" t="str">
        <f>IFERROR(__xludf.DUMMYFUNCTION("""COMPUTED_VALUE"""),"Homosexuální/bisexuální")</f>
        <v>Homosexuální/bisexuální</v>
      </c>
      <c r="P116" s="3">
        <f>IFERROR(__xludf.DUMMYFUNCTION("""COMPUTED_VALUE"""),62.7450980392157)</f>
        <v>62.74509804</v>
      </c>
    </row>
    <row r="117">
      <c r="N117" s="3">
        <f>IFERROR(__xludf.DUMMYFUNCTION("""COMPUTED_VALUE"""),1996.0)</f>
        <v>1996</v>
      </c>
      <c r="O117" s="3" t="str">
        <f>IFERROR(__xludf.DUMMYFUNCTION("""COMPUTED_VALUE"""),"Injekční uživatelé drog")</f>
        <v>Injekční uživatelé drog</v>
      </c>
      <c r="P117" s="3">
        <f>IFERROR(__xludf.DUMMYFUNCTION("""COMPUTED_VALUE"""),3.92156862745098)</f>
        <v>3.921568627</v>
      </c>
    </row>
    <row r="118">
      <c r="N118" s="3">
        <f>IFERROR(__xludf.DUMMYFUNCTION("""COMPUTED_VALUE"""),1996.0)</f>
        <v>1996</v>
      </c>
      <c r="O118" s="3" t="str">
        <f>IFERROR(__xludf.DUMMYFUNCTION("""COMPUTED_VALUE"""),"Injekční uživatelé drog + homo/bisex")</f>
        <v>Injekční uživatelé drog + homo/bisex</v>
      </c>
      <c r="P118" s="3">
        <f>IFERROR(__xludf.DUMMYFUNCTION("""COMPUTED_VALUE"""),0.0)</f>
        <v>0</v>
      </c>
    </row>
    <row r="119">
      <c r="N119" s="3">
        <f>IFERROR(__xludf.DUMMYFUNCTION("""COMPUTED_VALUE"""),1996.0)</f>
        <v>1996</v>
      </c>
      <c r="O119" s="3" t="str">
        <f>IFERROR(__xludf.DUMMYFUNCTION("""COMPUTED_VALUE"""),"Heterosexuální")</f>
        <v>Heterosexuální</v>
      </c>
      <c r="P119" s="3">
        <f>IFERROR(__xludf.DUMMYFUNCTION("""COMPUTED_VALUE"""),33.3333333333333)</f>
        <v>33.33333333</v>
      </c>
    </row>
    <row r="120">
      <c r="N120" s="3">
        <f>IFERROR(__xludf.DUMMYFUNCTION("""COMPUTED_VALUE"""),1996.0)</f>
        <v>1996</v>
      </c>
      <c r="O120" s="3" t="str">
        <f>IFERROR(__xludf.DUMMYFUNCTION("""COMPUTED_VALUE"""),"Hemofilici")</f>
        <v>Hemofilici</v>
      </c>
      <c r="P120" s="3">
        <f>IFERROR(__xludf.DUMMYFUNCTION("""COMPUTED_VALUE"""),0.0)</f>
        <v>0</v>
      </c>
    </row>
    <row r="121">
      <c r="N121" s="3">
        <f>IFERROR(__xludf.DUMMYFUNCTION("""COMPUTED_VALUE"""),1996.0)</f>
        <v>1996</v>
      </c>
      <c r="O121" s="3" t="str">
        <f>IFERROR(__xludf.DUMMYFUNCTION("""COMPUTED_VALUE"""),"Příjemci krve a krevních přípravků")</f>
        <v>Příjemci krve a krevních přípravků</v>
      </c>
      <c r="P121" s="3">
        <f>IFERROR(__xludf.DUMMYFUNCTION("""COMPUTED_VALUE"""),0.0)</f>
        <v>0</v>
      </c>
    </row>
    <row r="122">
      <c r="N122" s="3">
        <f>IFERROR(__xludf.DUMMYFUNCTION("""COMPUTED_VALUE"""),1996.0)</f>
        <v>1996</v>
      </c>
      <c r="O122" s="3" t="str">
        <f>IFERROR(__xludf.DUMMYFUNCTION("""COMPUTED_VALUE"""),"Z matky na dítě")</f>
        <v>Z matky na dítě</v>
      </c>
      <c r="P122" s="3">
        <f>IFERROR(__xludf.DUMMYFUNCTION("""COMPUTED_VALUE"""),0.0)</f>
        <v>0</v>
      </c>
    </row>
    <row r="123">
      <c r="N123" s="3">
        <f>IFERROR(__xludf.DUMMYFUNCTION("""COMPUTED_VALUE"""),1996.0)</f>
        <v>1996</v>
      </c>
      <c r="O123" s="3" t="str">
        <f>IFERROR(__xludf.DUMMYFUNCTION("""COMPUTED_VALUE"""),"Nozokomiální")</f>
        <v>Nozokomiální</v>
      </c>
      <c r="P123" s="3">
        <f>IFERROR(__xludf.DUMMYFUNCTION("""COMPUTED_VALUE"""),0.0)</f>
        <v>0</v>
      </c>
    </row>
    <row r="124">
      <c r="N124" s="3">
        <f>IFERROR(__xludf.DUMMYFUNCTION("""COMPUTED_VALUE"""),1996.0)</f>
        <v>1996</v>
      </c>
      <c r="O124" s="3" t="str">
        <f>IFERROR(__xludf.DUMMYFUNCTION("""COMPUTED_VALUE"""),"Nezjištěný/jiný")</f>
        <v>Nezjištěný/jiný</v>
      </c>
      <c r="P124" s="3">
        <f>IFERROR(__xludf.DUMMYFUNCTION("""COMPUTED_VALUE"""),0.0)</f>
        <v>0</v>
      </c>
    </row>
    <row r="125">
      <c r="N125" s="3">
        <f>IFERROR(__xludf.DUMMYFUNCTION("""COMPUTED_VALUE"""),1996.0)</f>
        <v>1996</v>
      </c>
      <c r="O125" s="3" t="str">
        <f>IFERROR(__xludf.DUMMYFUNCTION("""COMPUTED_VALUE"""),"Celkem")</f>
        <v>Celkem</v>
      </c>
      <c r="P125" s="3">
        <f>IFERROR(__xludf.DUMMYFUNCTION("""COMPUTED_VALUE"""),100.0)</f>
        <v>100</v>
      </c>
    </row>
    <row r="126">
      <c r="N126" s="3">
        <f>IFERROR(__xludf.DUMMYFUNCTION("""COMPUTED_VALUE"""),1997.0)</f>
        <v>1997</v>
      </c>
      <c r="O126" s="3" t="str">
        <f>IFERROR(__xludf.DUMMYFUNCTION("""COMPUTED_VALUE"""),"Homosexuální/bisexuální")</f>
        <v>Homosexuální/bisexuální</v>
      </c>
      <c r="P126" s="3">
        <f>IFERROR(__xludf.DUMMYFUNCTION("""COMPUTED_VALUE"""),50.0)</f>
        <v>50</v>
      </c>
    </row>
    <row r="127">
      <c r="N127" s="3">
        <f>IFERROR(__xludf.DUMMYFUNCTION("""COMPUTED_VALUE"""),1997.0)</f>
        <v>1997</v>
      </c>
      <c r="O127" s="3" t="str">
        <f>IFERROR(__xludf.DUMMYFUNCTION("""COMPUTED_VALUE"""),"Injekční uživatelé drog")</f>
        <v>Injekční uživatelé drog</v>
      </c>
      <c r="P127" s="3">
        <f>IFERROR(__xludf.DUMMYFUNCTION("""COMPUTED_VALUE"""),1.61290322580645)</f>
        <v>1.612903226</v>
      </c>
    </row>
    <row r="128">
      <c r="N128" s="3">
        <f>IFERROR(__xludf.DUMMYFUNCTION("""COMPUTED_VALUE"""),1997.0)</f>
        <v>1997</v>
      </c>
      <c r="O128" s="3" t="str">
        <f>IFERROR(__xludf.DUMMYFUNCTION("""COMPUTED_VALUE"""),"Injekční uživatelé drog + homo/bisex")</f>
        <v>Injekční uživatelé drog + homo/bisex</v>
      </c>
      <c r="P128" s="3">
        <f>IFERROR(__xludf.DUMMYFUNCTION("""COMPUTED_VALUE"""),3.2258064516129)</f>
        <v>3.225806452</v>
      </c>
    </row>
    <row r="129">
      <c r="N129" s="3">
        <f>IFERROR(__xludf.DUMMYFUNCTION("""COMPUTED_VALUE"""),1997.0)</f>
        <v>1997</v>
      </c>
      <c r="O129" s="3" t="str">
        <f>IFERROR(__xludf.DUMMYFUNCTION("""COMPUTED_VALUE"""),"Heterosexuální")</f>
        <v>Heterosexuální</v>
      </c>
      <c r="P129" s="3">
        <f>IFERROR(__xludf.DUMMYFUNCTION("""COMPUTED_VALUE"""),40.3225806451613)</f>
        <v>40.32258065</v>
      </c>
    </row>
    <row r="130">
      <c r="N130" s="3">
        <f>IFERROR(__xludf.DUMMYFUNCTION("""COMPUTED_VALUE"""),1997.0)</f>
        <v>1997</v>
      </c>
      <c r="O130" s="3" t="str">
        <f>IFERROR(__xludf.DUMMYFUNCTION("""COMPUTED_VALUE"""),"Hemofilici")</f>
        <v>Hemofilici</v>
      </c>
      <c r="P130" s="3">
        <f>IFERROR(__xludf.DUMMYFUNCTION("""COMPUTED_VALUE"""),0.0)</f>
        <v>0</v>
      </c>
    </row>
    <row r="131">
      <c r="N131" s="3">
        <f>IFERROR(__xludf.DUMMYFUNCTION("""COMPUTED_VALUE"""),1997.0)</f>
        <v>1997</v>
      </c>
      <c r="O131" s="3" t="str">
        <f>IFERROR(__xludf.DUMMYFUNCTION("""COMPUTED_VALUE"""),"Příjemci krve a krevních přípravků")</f>
        <v>Příjemci krve a krevních přípravků</v>
      </c>
      <c r="P131" s="3">
        <f>IFERROR(__xludf.DUMMYFUNCTION("""COMPUTED_VALUE"""),0.0)</f>
        <v>0</v>
      </c>
    </row>
    <row r="132">
      <c r="N132" s="3">
        <f>IFERROR(__xludf.DUMMYFUNCTION("""COMPUTED_VALUE"""),1997.0)</f>
        <v>1997</v>
      </c>
      <c r="O132" s="3" t="str">
        <f>IFERROR(__xludf.DUMMYFUNCTION("""COMPUTED_VALUE"""),"Z matky na dítě")</f>
        <v>Z matky na dítě</v>
      </c>
      <c r="P132" s="3">
        <f>IFERROR(__xludf.DUMMYFUNCTION("""COMPUTED_VALUE"""),1.61290322580645)</f>
        <v>1.612903226</v>
      </c>
    </row>
    <row r="133">
      <c r="N133" s="3">
        <f>IFERROR(__xludf.DUMMYFUNCTION("""COMPUTED_VALUE"""),1997.0)</f>
        <v>1997</v>
      </c>
      <c r="O133" s="3" t="str">
        <f>IFERROR(__xludf.DUMMYFUNCTION("""COMPUTED_VALUE"""),"Nozokomiální")</f>
        <v>Nozokomiální</v>
      </c>
      <c r="P133" s="3">
        <f>IFERROR(__xludf.DUMMYFUNCTION("""COMPUTED_VALUE"""),0.0)</f>
        <v>0</v>
      </c>
    </row>
    <row r="134">
      <c r="N134" s="3">
        <f>IFERROR(__xludf.DUMMYFUNCTION("""COMPUTED_VALUE"""),1997.0)</f>
        <v>1997</v>
      </c>
      <c r="O134" s="3" t="str">
        <f>IFERROR(__xludf.DUMMYFUNCTION("""COMPUTED_VALUE"""),"Nezjištěný/jiný")</f>
        <v>Nezjištěný/jiný</v>
      </c>
      <c r="P134" s="3">
        <f>IFERROR(__xludf.DUMMYFUNCTION("""COMPUTED_VALUE"""),3.2258064516129)</f>
        <v>3.225806452</v>
      </c>
    </row>
    <row r="135">
      <c r="N135" s="3">
        <f>IFERROR(__xludf.DUMMYFUNCTION("""COMPUTED_VALUE"""),1997.0)</f>
        <v>1997</v>
      </c>
      <c r="O135" s="3" t="str">
        <f>IFERROR(__xludf.DUMMYFUNCTION("""COMPUTED_VALUE"""),"Celkem")</f>
        <v>Celkem</v>
      </c>
      <c r="P135" s="3">
        <f>IFERROR(__xludf.DUMMYFUNCTION("""COMPUTED_VALUE"""),100.0)</f>
        <v>100</v>
      </c>
    </row>
    <row r="136">
      <c r="N136" s="3">
        <f>IFERROR(__xludf.DUMMYFUNCTION("""COMPUTED_VALUE"""),1998.0)</f>
        <v>1998</v>
      </c>
      <c r="O136" s="3" t="str">
        <f>IFERROR(__xludf.DUMMYFUNCTION("""COMPUTED_VALUE"""),"Homosexuální/bisexuální")</f>
        <v>Homosexuální/bisexuální</v>
      </c>
      <c r="P136" s="3">
        <f>IFERROR(__xludf.DUMMYFUNCTION("""COMPUTED_VALUE"""),50.0)</f>
        <v>50</v>
      </c>
    </row>
    <row r="137">
      <c r="N137" s="3">
        <f>IFERROR(__xludf.DUMMYFUNCTION("""COMPUTED_VALUE"""),1998.0)</f>
        <v>1998</v>
      </c>
      <c r="O137" s="3" t="str">
        <f>IFERROR(__xludf.DUMMYFUNCTION("""COMPUTED_VALUE"""),"Injekční uživatelé drog")</f>
        <v>Injekční uživatelé drog</v>
      </c>
      <c r="P137" s="3">
        <f>IFERROR(__xludf.DUMMYFUNCTION("""COMPUTED_VALUE"""),10.0)</f>
        <v>10</v>
      </c>
    </row>
    <row r="138">
      <c r="N138" s="3">
        <f>IFERROR(__xludf.DUMMYFUNCTION("""COMPUTED_VALUE"""),1998.0)</f>
        <v>1998</v>
      </c>
      <c r="O138" s="3" t="str">
        <f>IFERROR(__xludf.DUMMYFUNCTION("""COMPUTED_VALUE"""),"Injekční uživatelé drog + homo/bisex")</f>
        <v>Injekční uživatelé drog + homo/bisex</v>
      </c>
      <c r="P138" s="3">
        <f>IFERROR(__xludf.DUMMYFUNCTION("""COMPUTED_VALUE"""),6.66666666666667)</f>
        <v>6.666666667</v>
      </c>
    </row>
    <row r="139">
      <c r="N139" s="3">
        <f>IFERROR(__xludf.DUMMYFUNCTION("""COMPUTED_VALUE"""),1998.0)</f>
        <v>1998</v>
      </c>
      <c r="O139" s="3" t="str">
        <f>IFERROR(__xludf.DUMMYFUNCTION("""COMPUTED_VALUE"""),"Heterosexuální")</f>
        <v>Heterosexuální</v>
      </c>
      <c r="P139" s="3">
        <f>IFERROR(__xludf.DUMMYFUNCTION("""COMPUTED_VALUE"""),30.0)</f>
        <v>30</v>
      </c>
    </row>
    <row r="140">
      <c r="N140" s="3">
        <f>IFERROR(__xludf.DUMMYFUNCTION("""COMPUTED_VALUE"""),1998.0)</f>
        <v>1998</v>
      </c>
      <c r="O140" s="3" t="str">
        <f>IFERROR(__xludf.DUMMYFUNCTION("""COMPUTED_VALUE"""),"Hemofilici")</f>
        <v>Hemofilici</v>
      </c>
      <c r="P140" s="3">
        <f>IFERROR(__xludf.DUMMYFUNCTION("""COMPUTED_VALUE"""),0.0)</f>
        <v>0</v>
      </c>
    </row>
    <row r="141">
      <c r="N141" s="3">
        <f>IFERROR(__xludf.DUMMYFUNCTION("""COMPUTED_VALUE"""),1998.0)</f>
        <v>1998</v>
      </c>
      <c r="O141" s="3" t="str">
        <f>IFERROR(__xludf.DUMMYFUNCTION("""COMPUTED_VALUE"""),"Příjemci krve a krevních přípravků")</f>
        <v>Příjemci krve a krevních přípravků</v>
      </c>
      <c r="P141" s="3">
        <f>IFERROR(__xludf.DUMMYFUNCTION("""COMPUTED_VALUE"""),0.0)</f>
        <v>0</v>
      </c>
    </row>
    <row r="142">
      <c r="N142" s="3">
        <f>IFERROR(__xludf.DUMMYFUNCTION("""COMPUTED_VALUE"""),1998.0)</f>
        <v>1998</v>
      </c>
      <c r="O142" s="3" t="str">
        <f>IFERROR(__xludf.DUMMYFUNCTION("""COMPUTED_VALUE"""),"Z matky na dítě")</f>
        <v>Z matky na dítě</v>
      </c>
      <c r="P142" s="3">
        <f>IFERROR(__xludf.DUMMYFUNCTION("""COMPUTED_VALUE"""),0.0)</f>
        <v>0</v>
      </c>
    </row>
    <row r="143">
      <c r="N143" s="3">
        <f>IFERROR(__xludf.DUMMYFUNCTION("""COMPUTED_VALUE"""),1998.0)</f>
        <v>1998</v>
      </c>
      <c r="O143" s="3" t="str">
        <f>IFERROR(__xludf.DUMMYFUNCTION("""COMPUTED_VALUE"""),"Nozokomiální")</f>
        <v>Nozokomiální</v>
      </c>
      <c r="P143" s="3">
        <f>IFERROR(__xludf.DUMMYFUNCTION("""COMPUTED_VALUE"""),3.33333333333333)</f>
        <v>3.333333333</v>
      </c>
    </row>
    <row r="144">
      <c r="N144" s="3">
        <f>IFERROR(__xludf.DUMMYFUNCTION("""COMPUTED_VALUE"""),1998.0)</f>
        <v>1998</v>
      </c>
      <c r="O144" s="3" t="str">
        <f>IFERROR(__xludf.DUMMYFUNCTION("""COMPUTED_VALUE"""),"Nezjištěný/jiný")</f>
        <v>Nezjištěný/jiný</v>
      </c>
      <c r="P144" s="3">
        <f>IFERROR(__xludf.DUMMYFUNCTION("""COMPUTED_VALUE"""),0.0)</f>
        <v>0</v>
      </c>
    </row>
    <row r="145">
      <c r="N145" s="3">
        <f>IFERROR(__xludf.DUMMYFUNCTION("""COMPUTED_VALUE"""),1998.0)</f>
        <v>1998</v>
      </c>
      <c r="O145" s="3" t="str">
        <f>IFERROR(__xludf.DUMMYFUNCTION("""COMPUTED_VALUE"""),"Celkem")</f>
        <v>Celkem</v>
      </c>
      <c r="P145" s="3">
        <f>IFERROR(__xludf.DUMMYFUNCTION("""COMPUTED_VALUE"""),100.0)</f>
        <v>100</v>
      </c>
    </row>
    <row r="146">
      <c r="N146" s="3">
        <f>IFERROR(__xludf.DUMMYFUNCTION("""COMPUTED_VALUE"""),1999.0)</f>
        <v>1999</v>
      </c>
      <c r="O146" s="3" t="str">
        <f>IFERROR(__xludf.DUMMYFUNCTION("""COMPUTED_VALUE"""),"Homosexuální/bisexuální")</f>
        <v>Homosexuální/bisexuální</v>
      </c>
      <c r="P146" s="3">
        <f>IFERROR(__xludf.DUMMYFUNCTION("""COMPUTED_VALUE"""),38.0)</f>
        <v>38</v>
      </c>
    </row>
    <row r="147">
      <c r="N147" s="3">
        <f>IFERROR(__xludf.DUMMYFUNCTION("""COMPUTED_VALUE"""),1999.0)</f>
        <v>1999</v>
      </c>
      <c r="O147" s="3" t="str">
        <f>IFERROR(__xludf.DUMMYFUNCTION("""COMPUTED_VALUE"""),"Injekční uživatelé drog")</f>
        <v>Injekční uživatelé drog</v>
      </c>
      <c r="P147" s="3">
        <f>IFERROR(__xludf.DUMMYFUNCTION("""COMPUTED_VALUE"""),2.0)</f>
        <v>2</v>
      </c>
    </row>
    <row r="148">
      <c r="N148" s="3">
        <f>IFERROR(__xludf.DUMMYFUNCTION("""COMPUTED_VALUE"""),1999.0)</f>
        <v>1999</v>
      </c>
      <c r="O148" s="3" t="str">
        <f>IFERROR(__xludf.DUMMYFUNCTION("""COMPUTED_VALUE"""),"Injekční uživatelé drog + homo/bisex")</f>
        <v>Injekční uživatelé drog + homo/bisex</v>
      </c>
      <c r="P148" s="3">
        <f>IFERROR(__xludf.DUMMYFUNCTION("""COMPUTED_VALUE"""),2.0)</f>
        <v>2</v>
      </c>
    </row>
    <row r="149">
      <c r="N149" s="3">
        <f>IFERROR(__xludf.DUMMYFUNCTION("""COMPUTED_VALUE"""),1999.0)</f>
        <v>1999</v>
      </c>
      <c r="O149" s="3" t="str">
        <f>IFERROR(__xludf.DUMMYFUNCTION("""COMPUTED_VALUE"""),"Heterosexuální")</f>
        <v>Heterosexuální</v>
      </c>
      <c r="P149" s="3">
        <f>IFERROR(__xludf.DUMMYFUNCTION("""COMPUTED_VALUE"""),48.0)</f>
        <v>48</v>
      </c>
    </row>
    <row r="150">
      <c r="N150" s="3">
        <f>IFERROR(__xludf.DUMMYFUNCTION("""COMPUTED_VALUE"""),1999.0)</f>
        <v>1999</v>
      </c>
      <c r="O150" s="3" t="str">
        <f>IFERROR(__xludf.DUMMYFUNCTION("""COMPUTED_VALUE"""),"Hemofilici")</f>
        <v>Hemofilici</v>
      </c>
      <c r="P150" s="3">
        <f>IFERROR(__xludf.DUMMYFUNCTION("""COMPUTED_VALUE"""),0.0)</f>
        <v>0</v>
      </c>
    </row>
    <row r="151">
      <c r="N151" s="3">
        <f>IFERROR(__xludf.DUMMYFUNCTION("""COMPUTED_VALUE"""),1999.0)</f>
        <v>1999</v>
      </c>
      <c r="O151" s="3" t="str">
        <f>IFERROR(__xludf.DUMMYFUNCTION("""COMPUTED_VALUE"""),"Příjemci krve a krevních přípravků")</f>
        <v>Příjemci krve a krevních přípravků</v>
      </c>
      <c r="P151" s="3">
        <f>IFERROR(__xludf.DUMMYFUNCTION("""COMPUTED_VALUE"""),0.0)</f>
        <v>0</v>
      </c>
    </row>
    <row r="152">
      <c r="N152" s="3">
        <f>IFERROR(__xludf.DUMMYFUNCTION("""COMPUTED_VALUE"""),1999.0)</f>
        <v>1999</v>
      </c>
      <c r="O152" s="3" t="str">
        <f>IFERROR(__xludf.DUMMYFUNCTION("""COMPUTED_VALUE"""),"Z matky na dítě")</f>
        <v>Z matky na dítě</v>
      </c>
      <c r="P152" s="3">
        <f>IFERROR(__xludf.DUMMYFUNCTION("""COMPUTED_VALUE"""),2.0)</f>
        <v>2</v>
      </c>
    </row>
    <row r="153">
      <c r="N153" s="3">
        <f>IFERROR(__xludf.DUMMYFUNCTION("""COMPUTED_VALUE"""),1999.0)</f>
        <v>1999</v>
      </c>
      <c r="O153" s="3" t="str">
        <f>IFERROR(__xludf.DUMMYFUNCTION("""COMPUTED_VALUE"""),"Nozokomiální")</f>
        <v>Nozokomiální</v>
      </c>
      <c r="P153" s="3">
        <f>IFERROR(__xludf.DUMMYFUNCTION("""COMPUTED_VALUE"""),2.0)</f>
        <v>2</v>
      </c>
    </row>
    <row r="154">
      <c r="N154" s="3">
        <f>IFERROR(__xludf.DUMMYFUNCTION("""COMPUTED_VALUE"""),1999.0)</f>
        <v>1999</v>
      </c>
      <c r="O154" s="3" t="str">
        <f>IFERROR(__xludf.DUMMYFUNCTION("""COMPUTED_VALUE"""),"Nezjištěný/jiný")</f>
        <v>Nezjištěný/jiný</v>
      </c>
      <c r="P154" s="3">
        <f>IFERROR(__xludf.DUMMYFUNCTION("""COMPUTED_VALUE"""),6.0)</f>
        <v>6</v>
      </c>
    </row>
    <row r="155">
      <c r="N155" s="3">
        <f>IFERROR(__xludf.DUMMYFUNCTION("""COMPUTED_VALUE"""),1999.0)</f>
        <v>1999</v>
      </c>
      <c r="O155" s="3" t="str">
        <f>IFERROR(__xludf.DUMMYFUNCTION("""COMPUTED_VALUE"""),"Celkem")</f>
        <v>Celkem</v>
      </c>
      <c r="P155" s="3">
        <f>IFERROR(__xludf.DUMMYFUNCTION("""COMPUTED_VALUE"""),100.0)</f>
        <v>100</v>
      </c>
    </row>
    <row r="156">
      <c r="N156" s="3">
        <f>IFERROR(__xludf.DUMMYFUNCTION("""COMPUTED_VALUE"""),2000.0)</f>
        <v>2000</v>
      </c>
      <c r="O156" s="3" t="str">
        <f>IFERROR(__xludf.DUMMYFUNCTION("""COMPUTED_VALUE"""),"Homosexuální/bisexuální")</f>
        <v>Homosexuální/bisexuální</v>
      </c>
      <c r="P156" s="3">
        <f>IFERROR(__xludf.DUMMYFUNCTION("""COMPUTED_VALUE"""),48.2758620689655)</f>
        <v>48.27586207</v>
      </c>
    </row>
    <row r="157">
      <c r="N157" s="3">
        <f>IFERROR(__xludf.DUMMYFUNCTION("""COMPUTED_VALUE"""),2000.0)</f>
        <v>2000</v>
      </c>
      <c r="O157" s="3" t="str">
        <f>IFERROR(__xludf.DUMMYFUNCTION("""COMPUTED_VALUE"""),"Injekční uživatelé drog")</f>
        <v>Injekční uživatelé drog</v>
      </c>
      <c r="P157" s="3">
        <f>IFERROR(__xludf.DUMMYFUNCTION("""COMPUTED_VALUE"""),6.89655172413793)</f>
        <v>6.896551724</v>
      </c>
    </row>
    <row r="158">
      <c r="N158" s="3">
        <f>IFERROR(__xludf.DUMMYFUNCTION("""COMPUTED_VALUE"""),2000.0)</f>
        <v>2000</v>
      </c>
      <c r="O158" s="3" t="str">
        <f>IFERROR(__xludf.DUMMYFUNCTION("""COMPUTED_VALUE"""),"Injekční uživatelé drog + homo/bisex")</f>
        <v>Injekční uživatelé drog + homo/bisex</v>
      </c>
      <c r="P158" s="3">
        <f>IFERROR(__xludf.DUMMYFUNCTION("""COMPUTED_VALUE"""),0.0)</f>
        <v>0</v>
      </c>
    </row>
    <row r="159">
      <c r="N159" s="3">
        <f>IFERROR(__xludf.DUMMYFUNCTION("""COMPUTED_VALUE"""),2000.0)</f>
        <v>2000</v>
      </c>
      <c r="O159" s="3" t="str">
        <f>IFERROR(__xludf.DUMMYFUNCTION("""COMPUTED_VALUE"""),"Heterosexuální")</f>
        <v>Heterosexuální</v>
      </c>
      <c r="P159" s="3">
        <f>IFERROR(__xludf.DUMMYFUNCTION("""COMPUTED_VALUE"""),37.9310344827586)</f>
        <v>37.93103448</v>
      </c>
    </row>
    <row r="160">
      <c r="N160" s="3">
        <f>IFERROR(__xludf.DUMMYFUNCTION("""COMPUTED_VALUE"""),2000.0)</f>
        <v>2000</v>
      </c>
      <c r="O160" s="3" t="str">
        <f>IFERROR(__xludf.DUMMYFUNCTION("""COMPUTED_VALUE"""),"Hemofilici")</f>
        <v>Hemofilici</v>
      </c>
      <c r="P160" s="3">
        <f>IFERROR(__xludf.DUMMYFUNCTION("""COMPUTED_VALUE"""),0.0)</f>
        <v>0</v>
      </c>
    </row>
    <row r="161">
      <c r="N161" s="3">
        <f>IFERROR(__xludf.DUMMYFUNCTION("""COMPUTED_VALUE"""),2000.0)</f>
        <v>2000</v>
      </c>
      <c r="O161" s="3" t="str">
        <f>IFERROR(__xludf.DUMMYFUNCTION("""COMPUTED_VALUE"""),"Příjemci krve a krevních přípravků")</f>
        <v>Příjemci krve a krevních přípravků</v>
      </c>
      <c r="P161" s="3">
        <f>IFERROR(__xludf.DUMMYFUNCTION("""COMPUTED_VALUE"""),0.0)</f>
        <v>0</v>
      </c>
    </row>
    <row r="162">
      <c r="N162" s="3">
        <f>IFERROR(__xludf.DUMMYFUNCTION("""COMPUTED_VALUE"""),2000.0)</f>
        <v>2000</v>
      </c>
      <c r="O162" s="3" t="str">
        <f>IFERROR(__xludf.DUMMYFUNCTION("""COMPUTED_VALUE"""),"Z matky na dítě")</f>
        <v>Z matky na dítě</v>
      </c>
      <c r="P162" s="3">
        <f>IFERROR(__xludf.DUMMYFUNCTION("""COMPUTED_VALUE"""),1.72413793103448)</f>
        <v>1.724137931</v>
      </c>
    </row>
    <row r="163">
      <c r="N163" s="3">
        <f>IFERROR(__xludf.DUMMYFUNCTION("""COMPUTED_VALUE"""),2000.0)</f>
        <v>2000</v>
      </c>
      <c r="O163" s="3" t="str">
        <f>IFERROR(__xludf.DUMMYFUNCTION("""COMPUTED_VALUE"""),"Nozokomiální")</f>
        <v>Nozokomiální</v>
      </c>
      <c r="P163" s="3">
        <f>IFERROR(__xludf.DUMMYFUNCTION("""COMPUTED_VALUE"""),0.0)</f>
        <v>0</v>
      </c>
    </row>
    <row r="164">
      <c r="N164" s="3">
        <f>IFERROR(__xludf.DUMMYFUNCTION("""COMPUTED_VALUE"""),2000.0)</f>
        <v>2000</v>
      </c>
      <c r="O164" s="3" t="str">
        <f>IFERROR(__xludf.DUMMYFUNCTION("""COMPUTED_VALUE"""),"Nezjištěný/jiný")</f>
        <v>Nezjištěný/jiný</v>
      </c>
      <c r="P164" s="3">
        <f>IFERROR(__xludf.DUMMYFUNCTION("""COMPUTED_VALUE"""),5.17241379310345)</f>
        <v>5.172413793</v>
      </c>
    </row>
    <row r="165">
      <c r="N165" s="3">
        <f>IFERROR(__xludf.DUMMYFUNCTION("""COMPUTED_VALUE"""),2000.0)</f>
        <v>2000</v>
      </c>
      <c r="O165" s="3" t="str">
        <f>IFERROR(__xludf.DUMMYFUNCTION("""COMPUTED_VALUE"""),"Celkem")</f>
        <v>Celkem</v>
      </c>
      <c r="P165" s="3">
        <f>IFERROR(__xludf.DUMMYFUNCTION("""COMPUTED_VALUE"""),100.0)</f>
        <v>100</v>
      </c>
    </row>
    <row r="166">
      <c r="N166" s="3">
        <f>IFERROR(__xludf.DUMMYFUNCTION("""COMPUTED_VALUE"""),2001.0)</f>
        <v>2001</v>
      </c>
      <c r="O166" s="3" t="str">
        <f>IFERROR(__xludf.DUMMYFUNCTION("""COMPUTED_VALUE"""),"Homosexuální/bisexuální")</f>
        <v>Homosexuální/bisexuální</v>
      </c>
      <c r="P166" s="3">
        <f>IFERROR(__xludf.DUMMYFUNCTION("""COMPUTED_VALUE"""),58.8235294117647)</f>
        <v>58.82352941</v>
      </c>
    </row>
    <row r="167">
      <c r="N167" s="3">
        <f>IFERROR(__xludf.DUMMYFUNCTION("""COMPUTED_VALUE"""),2001.0)</f>
        <v>2001</v>
      </c>
      <c r="O167" s="3" t="str">
        <f>IFERROR(__xludf.DUMMYFUNCTION("""COMPUTED_VALUE"""),"Injekční uživatelé drog")</f>
        <v>Injekční uživatelé drog</v>
      </c>
      <c r="P167" s="3">
        <f>IFERROR(__xludf.DUMMYFUNCTION("""COMPUTED_VALUE"""),7.84313725490196)</f>
        <v>7.843137255</v>
      </c>
    </row>
    <row r="168">
      <c r="N168" s="3">
        <f>IFERROR(__xludf.DUMMYFUNCTION("""COMPUTED_VALUE"""),2001.0)</f>
        <v>2001</v>
      </c>
      <c r="O168" s="3" t="str">
        <f>IFERROR(__xludf.DUMMYFUNCTION("""COMPUTED_VALUE"""),"Injekční uživatelé drog + homo/bisex")</f>
        <v>Injekční uživatelé drog + homo/bisex</v>
      </c>
      <c r="P168" s="3">
        <f>IFERROR(__xludf.DUMMYFUNCTION("""COMPUTED_VALUE"""),3.92156862745098)</f>
        <v>3.921568627</v>
      </c>
    </row>
    <row r="169">
      <c r="N169" s="3">
        <f>IFERROR(__xludf.DUMMYFUNCTION("""COMPUTED_VALUE"""),2001.0)</f>
        <v>2001</v>
      </c>
      <c r="O169" s="3" t="str">
        <f>IFERROR(__xludf.DUMMYFUNCTION("""COMPUTED_VALUE"""),"Heterosexuální")</f>
        <v>Heterosexuální</v>
      </c>
      <c r="P169" s="3">
        <f>IFERROR(__xludf.DUMMYFUNCTION("""COMPUTED_VALUE"""),27.4509803921569)</f>
        <v>27.45098039</v>
      </c>
    </row>
    <row r="170">
      <c r="N170" s="3">
        <f>IFERROR(__xludf.DUMMYFUNCTION("""COMPUTED_VALUE"""),2001.0)</f>
        <v>2001</v>
      </c>
      <c r="O170" s="3" t="str">
        <f>IFERROR(__xludf.DUMMYFUNCTION("""COMPUTED_VALUE"""),"Hemofilici")</f>
        <v>Hemofilici</v>
      </c>
      <c r="P170" s="3">
        <f>IFERROR(__xludf.DUMMYFUNCTION("""COMPUTED_VALUE"""),0.0)</f>
        <v>0</v>
      </c>
    </row>
    <row r="171">
      <c r="N171" s="3">
        <f>IFERROR(__xludf.DUMMYFUNCTION("""COMPUTED_VALUE"""),2001.0)</f>
        <v>2001</v>
      </c>
      <c r="O171" s="3" t="str">
        <f>IFERROR(__xludf.DUMMYFUNCTION("""COMPUTED_VALUE"""),"Příjemci krve a krevních přípravků")</f>
        <v>Příjemci krve a krevních přípravků</v>
      </c>
      <c r="P171" s="3">
        <f>IFERROR(__xludf.DUMMYFUNCTION("""COMPUTED_VALUE"""),0.0)</f>
        <v>0</v>
      </c>
    </row>
    <row r="172">
      <c r="N172" s="3">
        <f>IFERROR(__xludf.DUMMYFUNCTION("""COMPUTED_VALUE"""),2001.0)</f>
        <v>2001</v>
      </c>
      <c r="O172" s="3" t="str">
        <f>IFERROR(__xludf.DUMMYFUNCTION("""COMPUTED_VALUE"""),"Z matky na dítě")</f>
        <v>Z matky na dítě</v>
      </c>
      <c r="P172" s="3">
        <f>IFERROR(__xludf.DUMMYFUNCTION("""COMPUTED_VALUE"""),0.0)</f>
        <v>0</v>
      </c>
    </row>
    <row r="173">
      <c r="N173" s="3">
        <f>IFERROR(__xludf.DUMMYFUNCTION("""COMPUTED_VALUE"""),2001.0)</f>
        <v>2001</v>
      </c>
      <c r="O173" s="3" t="str">
        <f>IFERROR(__xludf.DUMMYFUNCTION("""COMPUTED_VALUE"""),"Nozokomiální")</f>
        <v>Nozokomiální</v>
      </c>
      <c r="P173" s="3">
        <f>IFERROR(__xludf.DUMMYFUNCTION("""COMPUTED_VALUE"""),0.0)</f>
        <v>0</v>
      </c>
    </row>
    <row r="174">
      <c r="N174" s="3">
        <f>IFERROR(__xludf.DUMMYFUNCTION("""COMPUTED_VALUE"""),2001.0)</f>
        <v>2001</v>
      </c>
      <c r="O174" s="3" t="str">
        <f>IFERROR(__xludf.DUMMYFUNCTION("""COMPUTED_VALUE"""),"Nezjištěný/jiný")</f>
        <v>Nezjištěný/jiný</v>
      </c>
      <c r="P174" s="3">
        <f>IFERROR(__xludf.DUMMYFUNCTION("""COMPUTED_VALUE"""),1.96078431372549)</f>
        <v>1.960784314</v>
      </c>
    </row>
    <row r="175">
      <c r="N175" s="3">
        <f>IFERROR(__xludf.DUMMYFUNCTION("""COMPUTED_VALUE"""),2001.0)</f>
        <v>2001</v>
      </c>
      <c r="O175" s="3" t="str">
        <f>IFERROR(__xludf.DUMMYFUNCTION("""COMPUTED_VALUE"""),"Celkem")</f>
        <v>Celkem</v>
      </c>
      <c r="P175" s="3">
        <f>IFERROR(__xludf.DUMMYFUNCTION("""COMPUTED_VALUE"""),100.0)</f>
        <v>100</v>
      </c>
    </row>
    <row r="176">
      <c r="N176" s="3">
        <f>IFERROR(__xludf.DUMMYFUNCTION("""COMPUTED_VALUE"""),2002.0)</f>
        <v>2002</v>
      </c>
      <c r="O176" s="3" t="str">
        <f>IFERROR(__xludf.DUMMYFUNCTION("""COMPUTED_VALUE"""),"Homosexuální/bisexuální")</f>
        <v>Homosexuální/bisexuální</v>
      </c>
      <c r="P176" s="3">
        <f>IFERROR(__xludf.DUMMYFUNCTION("""COMPUTED_VALUE"""),54.0)</f>
        <v>54</v>
      </c>
    </row>
    <row r="177">
      <c r="N177" s="3">
        <f>IFERROR(__xludf.DUMMYFUNCTION("""COMPUTED_VALUE"""),2002.0)</f>
        <v>2002</v>
      </c>
      <c r="O177" s="3" t="str">
        <f>IFERROR(__xludf.DUMMYFUNCTION("""COMPUTED_VALUE"""),"Injekční uživatelé drog")</f>
        <v>Injekční uživatelé drog</v>
      </c>
      <c r="P177" s="3">
        <f>IFERROR(__xludf.DUMMYFUNCTION("""COMPUTED_VALUE"""),4.0)</f>
        <v>4</v>
      </c>
    </row>
    <row r="178">
      <c r="N178" s="3">
        <f>IFERROR(__xludf.DUMMYFUNCTION("""COMPUTED_VALUE"""),2002.0)</f>
        <v>2002</v>
      </c>
      <c r="O178" s="3" t="str">
        <f>IFERROR(__xludf.DUMMYFUNCTION("""COMPUTED_VALUE"""),"Injekční uživatelé drog + homo/bisex")</f>
        <v>Injekční uživatelé drog + homo/bisex</v>
      </c>
      <c r="P178" s="3">
        <f>IFERROR(__xludf.DUMMYFUNCTION("""COMPUTED_VALUE"""),2.0)</f>
        <v>2</v>
      </c>
    </row>
    <row r="179">
      <c r="N179" s="3">
        <f>IFERROR(__xludf.DUMMYFUNCTION("""COMPUTED_VALUE"""),2002.0)</f>
        <v>2002</v>
      </c>
      <c r="O179" s="3" t="str">
        <f>IFERROR(__xludf.DUMMYFUNCTION("""COMPUTED_VALUE"""),"Heterosexuální")</f>
        <v>Heterosexuální</v>
      </c>
      <c r="P179" s="3">
        <f>IFERROR(__xludf.DUMMYFUNCTION("""COMPUTED_VALUE"""),40.0)</f>
        <v>40</v>
      </c>
    </row>
    <row r="180">
      <c r="N180" s="3">
        <f>IFERROR(__xludf.DUMMYFUNCTION("""COMPUTED_VALUE"""),2002.0)</f>
        <v>2002</v>
      </c>
      <c r="O180" s="3" t="str">
        <f>IFERROR(__xludf.DUMMYFUNCTION("""COMPUTED_VALUE"""),"Hemofilici")</f>
        <v>Hemofilici</v>
      </c>
      <c r="P180" s="3">
        <f>IFERROR(__xludf.DUMMYFUNCTION("""COMPUTED_VALUE"""),0.0)</f>
        <v>0</v>
      </c>
    </row>
    <row r="181">
      <c r="N181" s="3">
        <f>IFERROR(__xludf.DUMMYFUNCTION("""COMPUTED_VALUE"""),2002.0)</f>
        <v>2002</v>
      </c>
      <c r="O181" s="3" t="str">
        <f>IFERROR(__xludf.DUMMYFUNCTION("""COMPUTED_VALUE"""),"Příjemci krve a krevních přípravků")</f>
        <v>Příjemci krve a krevních přípravků</v>
      </c>
      <c r="P181" s="3">
        <f>IFERROR(__xludf.DUMMYFUNCTION("""COMPUTED_VALUE"""),0.0)</f>
        <v>0</v>
      </c>
    </row>
    <row r="182">
      <c r="N182" s="3">
        <f>IFERROR(__xludf.DUMMYFUNCTION("""COMPUTED_VALUE"""),2002.0)</f>
        <v>2002</v>
      </c>
      <c r="O182" s="3" t="str">
        <f>IFERROR(__xludf.DUMMYFUNCTION("""COMPUTED_VALUE"""),"Z matky na dítě")</f>
        <v>Z matky na dítě</v>
      </c>
      <c r="P182" s="3">
        <f>IFERROR(__xludf.DUMMYFUNCTION("""COMPUTED_VALUE"""),0.0)</f>
        <v>0</v>
      </c>
    </row>
    <row r="183">
      <c r="N183" s="3">
        <f>IFERROR(__xludf.DUMMYFUNCTION("""COMPUTED_VALUE"""),2002.0)</f>
        <v>2002</v>
      </c>
      <c r="O183" s="3" t="str">
        <f>IFERROR(__xludf.DUMMYFUNCTION("""COMPUTED_VALUE"""),"Nozokomiální")</f>
        <v>Nozokomiální</v>
      </c>
      <c r="P183" s="3">
        <f>IFERROR(__xludf.DUMMYFUNCTION("""COMPUTED_VALUE"""),0.0)</f>
        <v>0</v>
      </c>
    </row>
    <row r="184">
      <c r="N184" s="3">
        <f>IFERROR(__xludf.DUMMYFUNCTION("""COMPUTED_VALUE"""),2002.0)</f>
        <v>2002</v>
      </c>
      <c r="O184" s="3" t="str">
        <f>IFERROR(__xludf.DUMMYFUNCTION("""COMPUTED_VALUE"""),"Nezjištěný/jiný")</f>
        <v>Nezjištěný/jiný</v>
      </c>
      <c r="P184" s="3">
        <f>IFERROR(__xludf.DUMMYFUNCTION("""COMPUTED_VALUE"""),0.0)</f>
        <v>0</v>
      </c>
    </row>
    <row r="185">
      <c r="N185" s="3">
        <f>IFERROR(__xludf.DUMMYFUNCTION("""COMPUTED_VALUE"""),2002.0)</f>
        <v>2002</v>
      </c>
      <c r="O185" s="3" t="str">
        <f>IFERROR(__xludf.DUMMYFUNCTION("""COMPUTED_VALUE"""),"Celkem")</f>
        <v>Celkem</v>
      </c>
      <c r="P185" s="3">
        <f>IFERROR(__xludf.DUMMYFUNCTION("""COMPUTED_VALUE"""),100.0)</f>
        <v>100</v>
      </c>
    </row>
    <row r="186">
      <c r="N186" s="3">
        <f>IFERROR(__xludf.DUMMYFUNCTION("""COMPUTED_VALUE"""),2003.0)</f>
        <v>2003</v>
      </c>
      <c r="O186" s="3" t="str">
        <f>IFERROR(__xludf.DUMMYFUNCTION("""COMPUTED_VALUE"""),"Homosexuální/bisexuální")</f>
        <v>Homosexuální/bisexuální</v>
      </c>
      <c r="P186" s="3">
        <f>IFERROR(__xludf.DUMMYFUNCTION("""COMPUTED_VALUE"""),58.7301587301587)</f>
        <v>58.73015873</v>
      </c>
    </row>
    <row r="187">
      <c r="N187" s="3">
        <f>IFERROR(__xludf.DUMMYFUNCTION("""COMPUTED_VALUE"""),2003.0)</f>
        <v>2003</v>
      </c>
      <c r="O187" s="3" t="str">
        <f>IFERROR(__xludf.DUMMYFUNCTION("""COMPUTED_VALUE"""),"Injekční uživatelé drog")</f>
        <v>Injekční uživatelé drog</v>
      </c>
      <c r="P187" s="3">
        <f>IFERROR(__xludf.DUMMYFUNCTION("""COMPUTED_VALUE"""),6.34920634920635)</f>
        <v>6.349206349</v>
      </c>
    </row>
    <row r="188">
      <c r="N188" s="3">
        <f>IFERROR(__xludf.DUMMYFUNCTION("""COMPUTED_VALUE"""),2003.0)</f>
        <v>2003</v>
      </c>
      <c r="O188" s="3" t="str">
        <f>IFERROR(__xludf.DUMMYFUNCTION("""COMPUTED_VALUE"""),"Injekční uživatelé drog + homo/bisex")</f>
        <v>Injekční uživatelé drog + homo/bisex</v>
      </c>
      <c r="P188" s="3">
        <f>IFERROR(__xludf.DUMMYFUNCTION("""COMPUTED_VALUE"""),1.58730158730159)</f>
        <v>1.587301587</v>
      </c>
    </row>
    <row r="189">
      <c r="N189" s="3">
        <f>IFERROR(__xludf.DUMMYFUNCTION("""COMPUTED_VALUE"""),2003.0)</f>
        <v>2003</v>
      </c>
      <c r="O189" s="3" t="str">
        <f>IFERROR(__xludf.DUMMYFUNCTION("""COMPUTED_VALUE"""),"Heterosexuální")</f>
        <v>Heterosexuální</v>
      </c>
      <c r="P189" s="3">
        <f>IFERROR(__xludf.DUMMYFUNCTION("""COMPUTED_VALUE"""),30.1587301587302)</f>
        <v>30.15873016</v>
      </c>
    </row>
    <row r="190">
      <c r="N190" s="3">
        <f>IFERROR(__xludf.DUMMYFUNCTION("""COMPUTED_VALUE"""),2003.0)</f>
        <v>2003</v>
      </c>
      <c r="O190" s="3" t="str">
        <f>IFERROR(__xludf.DUMMYFUNCTION("""COMPUTED_VALUE"""),"Hemofilici")</f>
        <v>Hemofilici</v>
      </c>
      <c r="P190" s="3">
        <f>IFERROR(__xludf.DUMMYFUNCTION("""COMPUTED_VALUE"""),0.0)</f>
        <v>0</v>
      </c>
    </row>
    <row r="191">
      <c r="N191" s="3">
        <f>IFERROR(__xludf.DUMMYFUNCTION("""COMPUTED_VALUE"""),2003.0)</f>
        <v>2003</v>
      </c>
      <c r="O191" s="3" t="str">
        <f>IFERROR(__xludf.DUMMYFUNCTION("""COMPUTED_VALUE"""),"Příjemci krve a krevních přípravků")</f>
        <v>Příjemci krve a krevních přípravků</v>
      </c>
      <c r="P191" s="3">
        <f>IFERROR(__xludf.DUMMYFUNCTION("""COMPUTED_VALUE"""),0.0)</f>
        <v>0</v>
      </c>
    </row>
    <row r="192">
      <c r="N192" s="3">
        <f>IFERROR(__xludf.DUMMYFUNCTION("""COMPUTED_VALUE"""),2003.0)</f>
        <v>2003</v>
      </c>
      <c r="O192" s="3" t="str">
        <f>IFERROR(__xludf.DUMMYFUNCTION("""COMPUTED_VALUE"""),"Z matky na dítě")</f>
        <v>Z matky na dítě</v>
      </c>
      <c r="P192" s="3">
        <f>IFERROR(__xludf.DUMMYFUNCTION("""COMPUTED_VALUE"""),1.58730158730159)</f>
        <v>1.587301587</v>
      </c>
    </row>
    <row r="193">
      <c r="N193" s="3">
        <f>IFERROR(__xludf.DUMMYFUNCTION("""COMPUTED_VALUE"""),2003.0)</f>
        <v>2003</v>
      </c>
      <c r="O193" s="3" t="str">
        <f>IFERROR(__xludf.DUMMYFUNCTION("""COMPUTED_VALUE"""),"Nozokomiální")</f>
        <v>Nozokomiální</v>
      </c>
      <c r="P193" s="3">
        <f>IFERROR(__xludf.DUMMYFUNCTION("""COMPUTED_VALUE"""),0.0)</f>
        <v>0</v>
      </c>
    </row>
    <row r="194">
      <c r="N194" s="3">
        <f>IFERROR(__xludf.DUMMYFUNCTION("""COMPUTED_VALUE"""),2003.0)</f>
        <v>2003</v>
      </c>
      <c r="O194" s="3" t="str">
        <f>IFERROR(__xludf.DUMMYFUNCTION("""COMPUTED_VALUE"""),"Nezjištěný/jiný")</f>
        <v>Nezjištěný/jiný</v>
      </c>
      <c r="P194" s="3">
        <f>IFERROR(__xludf.DUMMYFUNCTION("""COMPUTED_VALUE"""),1.58730158730159)</f>
        <v>1.587301587</v>
      </c>
    </row>
    <row r="195">
      <c r="N195" s="3">
        <f>IFERROR(__xludf.DUMMYFUNCTION("""COMPUTED_VALUE"""),2003.0)</f>
        <v>2003</v>
      </c>
      <c r="O195" s="3" t="str">
        <f>IFERROR(__xludf.DUMMYFUNCTION("""COMPUTED_VALUE"""),"Celkem")</f>
        <v>Celkem</v>
      </c>
      <c r="P195" s="3">
        <f>IFERROR(__xludf.DUMMYFUNCTION("""COMPUTED_VALUE"""),100.0)</f>
        <v>100</v>
      </c>
    </row>
    <row r="196">
      <c r="N196" s="3">
        <f>IFERROR(__xludf.DUMMYFUNCTION("""COMPUTED_VALUE"""),2004.0)</f>
        <v>2004</v>
      </c>
      <c r="O196" s="3" t="str">
        <f>IFERROR(__xludf.DUMMYFUNCTION("""COMPUTED_VALUE"""),"Homosexuální/bisexuální")</f>
        <v>Homosexuální/bisexuální</v>
      </c>
      <c r="P196" s="3">
        <f>IFERROR(__xludf.DUMMYFUNCTION("""COMPUTED_VALUE"""),45.8333333333333)</f>
        <v>45.83333333</v>
      </c>
    </row>
    <row r="197">
      <c r="N197" s="3">
        <f>IFERROR(__xludf.DUMMYFUNCTION("""COMPUTED_VALUE"""),2004.0)</f>
        <v>2004</v>
      </c>
      <c r="O197" s="3" t="str">
        <f>IFERROR(__xludf.DUMMYFUNCTION("""COMPUTED_VALUE"""),"Injekční uživatelé drog")</f>
        <v>Injekční uživatelé drog</v>
      </c>
      <c r="P197" s="3">
        <f>IFERROR(__xludf.DUMMYFUNCTION("""COMPUTED_VALUE"""),8.33333333333333)</f>
        <v>8.333333333</v>
      </c>
    </row>
    <row r="198">
      <c r="N198" s="3">
        <f>IFERROR(__xludf.DUMMYFUNCTION("""COMPUTED_VALUE"""),2004.0)</f>
        <v>2004</v>
      </c>
      <c r="O198" s="3" t="str">
        <f>IFERROR(__xludf.DUMMYFUNCTION("""COMPUTED_VALUE"""),"Injekční uživatelé drog + homo/bisex")</f>
        <v>Injekční uživatelé drog + homo/bisex</v>
      </c>
      <c r="P198" s="3">
        <f>IFERROR(__xludf.DUMMYFUNCTION("""COMPUTED_VALUE"""),2.77777777777778)</f>
        <v>2.777777778</v>
      </c>
    </row>
    <row r="199">
      <c r="N199" s="3">
        <f>IFERROR(__xludf.DUMMYFUNCTION("""COMPUTED_VALUE"""),2004.0)</f>
        <v>2004</v>
      </c>
      <c r="O199" s="3" t="str">
        <f>IFERROR(__xludf.DUMMYFUNCTION("""COMPUTED_VALUE"""),"Heterosexuální")</f>
        <v>Heterosexuální</v>
      </c>
      <c r="P199" s="3">
        <f>IFERROR(__xludf.DUMMYFUNCTION("""COMPUTED_VALUE"""),43.0555555555556)</f>
        <v>43.05555556</v>
      </c>
    </row>
    <row r="200">
      <c r="N200" s="3">
        <f>IFERROR(__xludf.DUMMYFUNCTION("""COMPUTED_VALUE"""),2004.0)</f>
        <v>2004</v>
      </c>
      <c r="O200" s="3" t="str">
        <f>IFERROR(__xludf.DUMMYFUNCTION("""COMPUTED_VALUE"""),"Hemofilici")</f>
        <v>Hemofilici</v>
      </c>
      <c r="P200" s="3">
        <f>IFERROR(__xludf.DUMMYFUNCTION("""COMPUTED_VALUE"""),0.0)</f>
        <v>0</v>
      </c>
    </row>
    <row r="201">
      <c r="N201" s="3">
        <f>IFERROR(__xludf.DUMMYFUNCTION("""COMPUTED_VALUE"""),2004.0)</f>
        <v>2004</v>
      </c>
      <c r="O201" s="3" t="str">
        <f>IFERROR(__xludf.DUMMYFUNCTION("""COMPUTED_VALUE"""),"Příjemci krve a krevních přípravků")</f>
        <v>Příjemci krve a krevních přípravků</v>
      </c>
      <c r="P201" s="3">
        <f>IFERROR(__xludf.DUMMYFUNCTION("""COMPUTED_VALUE"""),0.0)</f>
        <v>0</v>
      </c>
    </row>
    <row r="202">
      <c r="N202" s="3">
        <f>IFERROR(__xludf.DUMMYFUNCTION("""COMPUTED_VALUE"""),2004.0)</f>
        <v>2004</v>
      </c>
      <c r="O202" s="3" t="str">
        <f>IFERROR(__xludf.DUMMYFUNCTION("""COMPUTED_VALUE"""),"Z matky na dítě")</f>
        <v>Z matky na dítě</v>
      </c>
      <c r="P202" s="3">
        <f>IFERROR(__xludf.DUMMYFUNCTION("""COMPUTED_VALUE"""),0.0)</f>
        <v>0</v>
      </c>
    </row>
    <row r="203">
      <c r="N203" s="3">
        <f>IFERROR(__xludf.DUMMYFUNCTION("""COMPUTED_VALUE"""),2004.0)</f>
        <v>2004</v>
      </c>
      <c r="O203" s="3" t="str">
        <f>IFERROR(__xludf.DUMMYFUNCTION("""COMPUTED_VALUE"""),"Nozokomiální")</f>
        <v>Nozokomiální</v>
      </c>
      <c r="P203" s="3">
        <f>IFERROR(__xludf.DUMMYFUNCTION("""COMPUTED_VALUE"""),0.0)</f>
        <v>0</v>
      </c>
    </row>
    <row r="204">
      <c r="N204" s="3">
        <f>IFERROR(__xludf.DUMMYFUNCTION("""COMPUTED_VALUE"""),2004.0)</f>
        <v>2004</v>
      </c>
      <c r="O204" s="3" t="str">
        <f>IFERROR(__xludf.DUMMYFUNCTION("""COMPUTED_VALUE"""),"Nezjištěný/jiný")</f>
        <v>Nezjištěný/jiný</v>
      </c>
      <c r="P204" s="3">
        <f>IFERROR(__xludf.DUMMYFUNCTION("""COMPUTED_VALUE"""),0.0)</f>
        <v>0</v>
      </c>
    </row>
    <row r="205">
      <c r="N205" s="3">
        <f>IFERROR(__xludf.DUMMYFUNCTION("""COMPUTED_VALUE"""),2004.0)</f>
        <v>2004</v>
      </c>
      <c r="O205" s="3" t="str">
        <f>IFERROR(__xludf.DUMMYFUNCTION("""COMPUTED_VALUE"""),"Celkem")</f>
        <v>Celkem</v>
      </c>
      <c r="P205" s="3">
        <f>IFERROR(__xludf.DUMMYFUNCTION("""COMPUTED_VALUE"""),100.0)</f>
        <v>100</v>
      </c>
    </row>
    <row r="206">
      <c r="N206" s="3">
        <f>IFERROR(__xludf.DUMMYFUNCTION("""COMPUTED_VALUE"""),2005.0)</f>
        <v>2005</v>
      </c>
      <c r="O206" s="3" t="str">
        <f>IFERROR(__xludf.DUMMYFUNCTION("""COMPUTED_VALUE"""),"Homosexuální/bisexuální")</f>
        <v>Homosexuální/bisexuální</v>
      </c>
      <c r="P206" s="3">
        <f>IFERROR(__xludf.DUMMYFUNCTION("""COMPUTED_VALUE"""),60.0)</f>
        <v>60</v>
      </c>
    </row>
    <row r="207">
      <c r="N207" s="3">
        <f>IFERROR(__xludf.DUMMYFUNCTION("""COMPUTED_VALUE"""),2005.0)</f>
        <v>2005</v>
      </c>
      <c r="O207" s="3" t="str">
        <f>IFERROR(__xludf.DUMMYFUNCTION("""COMPUTED_VALUE"""),"Injekční uživatelé drog")</f>
        <v>Injekční uživatelé drog</v>
      </c>
      <c r="P207" s="3">
        <f>IFERROR(__xludf.DUMMYFUNCTION("""COMPUTED_VALUE"""),4.44444444444444)</f>
        <v>4.444444444</v>
      </c>
    </row>
    <row r="208">
      <c r="N208" s="3">
        <f>IFERROR(__xludf.DUMMYFUNCTION("""COMPUTED_VALUE"""),2005.0)</f>
        <v>2005</v>
      </c>
      <c r="O208" s="3" t="str">
        <f>IFERROR(__xludf.DUMMYFUNCTION("""COMPUTED_VALUE"""),"Injekční uživatelé drog + homo/bisex")</f>
        <v>Injekční uživatelé drog + homo/bisex</v>
      </c>
      <c r="P208" s="3">
        <f>IFERROR(__xludf.DUMMYFUNCTION("""COMPUTED_VALUE"""),1.11111111111111)</f>
        <v>1.111111111</v>
      </c>
    </row>
    <row r="209">
      <c r="N209" s="3">
        <f>IFERROR(__xludf.DUMMYFUNCTION("""COMPUTED_VALUE"""),2005.0)</f>
        <v>2005</v>
      </c>
      <c r="O209" s="3" t="str">
        <f>IFERROR(__xludf.DUMMYFUNCTION("""COMPUTED_VALUE"""),"Heterosexuální")</f>
        <v>Heterosexuální</v>
      </c>
      <c r="P209" s="3">
        <f>IFERROR(__xludf.DUMMYFUNCTION("""COMPUTED_VALUE"""),33.3333333333333)</f>
        <v>33.33333333</v>
      </c>
    </row>
    <row r="210">
      <c r="N210" s="3">
        <f>IFERROR(__xludf.DUMMYFUNCTION("""COMPUTED_VALUE"""),2005.0)</f>
        <v>2005</v>
      </c>
      <c r="O210" s="3" t="str">
        <f>IFERROR(__xludf.DUMMYFUNCTION("""COMPUTED_VALUE"""),"Hemofilici")</f>
        <v>Hemofilici</v>
      </c>
      <c r="P210" s="3">
        <f>IFERROR(__xludf.DUMMYFUNCTION("""COMPUTED_VALUE"""),0.0)</f>
        <v>0</v>
      </c>
    </row>
    <row r="211">
      <c r="N211" s="3">
        <f>IFERROR(__xludf.DUMMYFUNCTION("""COMPUTED_VALUE"""),2005.0)</f>
        <v>2005</v>
      </c>
      <c r="O211" s="3" t="str">
        <f>IFERROR(__xludf.DUMMYFUNCTION("""COMPUTED_VALUE"""),"Příjemci krve a krevních přípravků")</f>
        <v>Příjemci krve a krevních přípravků</v>
      </c>
      <c r="P211" s="3">
        <f>IFERROR(__xludf.DUMMYFUNCTION("""COMPUTED_VALUE"""),0.0)</f>
        <v>0</v>
      </c>
    </row>
    <row r="212">
      <c r="N212" s="3">
        <f>IFERROR(__xludf.DUMMYFUNCTION("""COMPUTED_VALUE"""),2005.0)</f>
        <v>2005</v>
      </c>
      <c r="O212" s="3" t="str">
        <f>IFERROR(__xludf.DUMMYFUNCTION("""COMPUTED_VALUE"""),"Z matky na dítě")</f>
        <v>Z matky na dítě</v>
      </c>
      <c r="P212" s="3">
        <f>IFERROR(__xludf.DUMMYFUNCTION("""COMPUTED_VALUE"""),0.0)</f>
        <v>0</v>
      </c>
    </row>
    <row r="213">
      <c r="N213" s="3">
        <f>IFERROR(__xludf.DUMMYFUNCTION("""COMPUTED_VALUE"""),2005.0)</f>
        <v>2005</v>
      </c>
      <c r="O213" s="3" t="str">
        <f>IFERROR(__xludf.DUMMYFUNCTION("""COMPUTED_VALUE"""),"Nozokomiální")</f>
        <v>Nozokomiální</v>
      </c>
      <c r="P213" s="3">
        <f>IFERROR(__xludf.DUMMYFUNCTION("""COMPUTED_VALUE"""),0.0)</f>
        <v>0</v>
      </c>
    </row>
    <row r="214">
      <c r="N214" s="3">
        <f>IFERROR(__xludf.DUMMYFUNCTION("""COMPUTED_VALUE"""),2005.0)</f>
        <v>2005</v>
      </c>
      <c r="O214" s="3" t="str">
        <f>IFERROR(__xludf.DUMMYFUNCTION("""COMPUTED_VALUE"""),"Nezjištěný/jiný")</f>
        <v>Nezjištěný/jiný</v>
      </c>
      <c r="P214" s="3">
        <f>IFERROR(__xludf.DUMMYFUNCTION("""COMPUTED_VALUE"""),1.11111111111111)</f>
        <v>1.111111111</v>
      </c>
    </row>
    <row r="215">
      <c r="N215" s="3">
        <f>IFERROR(__xludf.DUMMYFUNCTION("""COMPUTED_VALUE"""),2005.0)</f>
        <v>2005</v>
      </c>
      <c r="O215" s="3" t="str">
        <f>IFERROR(__xludf.DUMMYFUNCTION("""COMPUTED_VALUE"""),"Celkem")</f>
        <v>Celkem</v>
      </c>
      <c r="P215" s="3">
        <f>IFERROR(__xludf.DUMMYFUNCTION("""COMPUTED_VALUE"""),100.0)</f>
        <v>100</v>
      </c>
    </row>
    <row r="216">
      <c r="N216" s="3">
        <f>IFERROR(__xludf.DUMMYFUNCTION("""COMPUTED_VALUE"""),2006.0)</f>
        <v>2006</v>
      </c>
      <c r="O216" s="3" t="str">
        <f>IFERROR(__xludf.DUMMYFUNCTION("""COMPUTED_VALUE"""),"Homosexuální/bisexuální")</f>
        <v>Homosexuální/bisexuální</v>
      </c>
      <c r="P216" s="3">
        <f>IFERROR(__xludf.DUMMYFUNCTION("""COMPUTED_VALUE"""),60.4395604395605)</f>
        <v>60.43956044</v>
      </c>
    </row>
    <row r="217">
      <c r="N217" s="3">
        <f>IFERROR(__xludf.DUMMYFUNCTION("""COMPUTED_VALUE"""),2006.0)</f>
        <v>2006</v>
      </c>
      <c r="O217" s="3" t="str">
        <f>IFERROR(__xludf.DUMMYFUNCTION("""COMPUTED_VALUE"""),"Injekční uživatelé drog")</f>
        <v>Injekční uživatelé drog</v>
      </c>
      <c r="P217" s="3">
        <f>IFERROR(__xludf.DUMMYFUNCTION("""COMPUTED_VALUE"""),5.49450549450549)</f>
        <v>5.494505495</v>
      </c>
    </row>
    <row r="218">
      <c r="N218" s="3">
        <f>IFERROR(__xludf.DUMMYFUNCTION("""COMPUTED_VALUE"""),2006.0)</f>
        <v>2006</v>
      </c>
      <c r="O218" s="3" t="str">
        <f>IFERROR(__xludf.DUMMYFUNCTION("""COMPUTED_VALUE"""),"Injekční uživatelé drog + homo/bisex")</f>
        <v>Injekční uživatelé drog + homo/bisex</v>
      </c>
      <c r="P218" s="3">
        <f>IFERROR(__xludf.DUMMYFUNCTION("""COMPUTED_VALUE"""),2.1978021978022)</f>
        <v>2.197802198</v>
      </c>
    </row>
    <row r="219">
      <c r="N219" s="3">
        <f>IFERROR(__xludf.DUMMYFUNCTION("""COMPUTED_VALUE"""),2006.0)</f>
        <v>2006</v>
      </c>
      <c r="O219" s="3" t="str">
        <f>IFERROR(__xludf.DUMMYFUNCTION("""COMPUTED_VALUE"""),"Heterosexuální")</f>
        <v>Heterosexuální</v>
      </c>
      <c r="P219" s="3">
        <f>IFERROR(__xludf.DUMMYFUNCTION("""COMPUTED_VALUE"""),28.5714285714286)</f>
        <v>28.57142857</v>
      </c>
    </row>
    <row r="220">
      <c r="N220" s="3">
        <f>IFERROR(__xludf.DUMMYFUNCTION("""COMPUTED_VALUE"""),2006.0)</f>
        <v>2006</v>
      </c>
      <c r="O220" s="3" t="str">
        <f>IFERROR(__xludf.DUMMYFUNCTION("""COMPUTED_VALUE"""),"Hemofilici")</f>
        <v>Hemofilici</v>
      </c>
      <c r="P220" s="3">
        <f>IFERROR(__xludf.DUMMYFUNCTION("""COMPUTED_VALUE"""),0.0)</f>
        <v>0</v>
      </c>
    </row>
    <row r="221">
      <c r="N221" s="3">
        <f>IFERROR(__xludf.DUMMYFUNCTION("""COMPUTED_VALUE"""),2006.0)</f>
        <v>2006</v>
      </c>
      <c r="O221" s="3" t="str">
        <f>IFERROR(__xludf.DUMMYFUNCTION("""COMPUTED_VALUE"""),"Příjemci krve a krevních přípravků")</f>
        <v>Příjemci krve a krevních přípravků</v>
      </c>
      <c r="P221" s="3">
        <f>IFERROR(__xludf.DUMMYFUNCTION("""COMPUTED_VALUE"""),0.0)</f>
        <v>0</v>
      </c>
    </row>
    <row r="222">
      <c r="N222" s="3">
        <f>IFERROR(__xludf.DUMMYFUNCTION("""COMPUTED_VALUE"""),2006.0)</f>
        <v>2006</v>
      </c>
      <c r="O222" s="3" t="str">
        <f>IFERROR(__xludf.DUMMYFUNCTION("""COMPUTED_VALUE"""),"Z matky na dítě")</f>
        <v>Z matky na dítě</v>
      </c>
      <c r="P222" s="3">
        <f>IFERROR(__xludf.DUMMYFUNCTION("""COMPUTED_VALUE"""),0.0)</f>
        <v>0</v>
      </c>
    </row>
    <row r="223">
      <c r="N223" s="3">
        <f>IFERROR(__xludf.DUMMYFUNCTION("""COMPUTED_VALUE"""),2006.0)</f>
        <v>2006</v>
      </c>
      <c r="O223" s="3" t="str">
        <f>IFERROR(__xludf.DUMMYFUNCTION("""COMPUTED_VALUE"""),"Nozokomiální")</f>
        <v>Nozokomiální</v>
      </c>
      <c r="P223" s="3">
        <f>IFERROR(__xludf.DUMMYFUNCTION("""COMPUTED_VALUE"""),0.0)</f>
        <v>0</v>
      </c>
    </row>
    <row r="224">
      <c r="N224" s="3">
        <f>IFERROR(__xludf.DUMMYFUNCTION("""COMPUTED_VALUE"""),2006.0)</f>
        <v>2006</v>
      </c>
      <c r="O224" s="3" t="str">
        <f>IFERROR(__xludf.DUMMYFUNCTION("""COMPUTED_VALUE"""),"Nezjištěný/jiný")</f>
        <v>Nezjištěný/jiný</v>
      </c>
      <c r="P224" s="3">
        <f>IFERROR(__xludf.DUMMYFUNCTION("""COMPUTED_VALUE"""),3.2967032967033)</f>
        <v>3.296703297</v>
      </c>
    </row>
    <row r="225">
      <c r="N225" s="3">
        <f>IFERROR(__xludf.DUMMYFUNCTION("""COMPUTED_VALUE"""),2006.0)</f>
        <v>2006</v>
      </c>
      <c r="O225" s="3" t="str">
        <f>IFERROR(__xludf.DUMMYFUNCTION("""COMPUTED_VALUE"""),"Celkem")</f>
        <v>Celkem</v>
      </c>
      <c r="P225" s="3">
        <f>IFERROR(__xludf.DUMMYFUNCTION("""COMPUTED_VALUE"""),100.0)</f>
        <v>100</v>
      </c>
    </row>
    <row r="226">
      <c r="N226" s="3">
        <f>IFERROR(__xludf.DUMMYFUNCTION("""COMPUTED_VALUE"""),2007.0)</f>
        <v>2007</v>
      </c>
      <c r="O226" s="3" t="str">
        <f>IFERROR(__xludf.DUMMYFUNCTION("""COMPUTED_VALUE"""),"Homosexuální/bisexuální")</f>
        <v>Homosexuální/bisexuální</v>
      </c>
      <c r="P226" s="3">
        <f>IFERROR(__xludf.DUMMYFUNCTION("""COMPUTED_VALUE"""),61.9834710743802)</f>
        <v>61.98347107</v>
      </c>
    </row>
    <row r="227">
      <c r="N227" s="3">
        <f>IFERROR(__xludf.DUMMYFUNCTION("""COMPUTED_VALUE"""),2007.0)</f>
        <v>2007</v>
      </c>
      <c r="O227" s="3" t="str">
        <f>IFERROR(__xludf.DUMMYFUNCTION("""COMPUTED_VALUE"""),"Injekční uživatelé drog")</f>
        <v>Injekční uživatelé drog</v>
      </c>
      <c r="P227" s="3">
        <f>IFERROR(__xludf.DUMMYFUNCTION("""COMPUTED_VALUE"""),9.91735537190083)</f>
        <v>9.917355372</v>
      </c>
    </row>
    <row r="228">
      <c r="N228" s="3">
        <f>IFERROR(__xludf.DUMMYFUNCTION("""COMPUTED_VALUE"""),2007.0)</f>
        <v>2007</v>
      </c>
      <c r="O228" s="3" t="str">
        <f>IFERROR(__xludf.DUMMYFUNCTION("""COMPUTED_VALUE"""),"Injekční uživatelé drog + homo/bisex")</f>
        <v>Injekční uživatelé drog + homo/bisex</v>
      </c>
      <c r="P228" s="3">
        <f>IFERROR(__xludf.DUMMYFUNCTION("""COMPUTED_VALUE"""),4.13223140495868)</f>
        <v>4.132231405</v>
      </c>
    </row>
    <row r="229">
      <c r="N229" s="3">
        <f>IFERROR(__xludf.DUMMYFUNCTION("""COMPUTED_VALUE"""),2007.0)</f>
        <v>2007</v>
      </c>
      <c r="O229" s="3" t="str">
        <f>IFERROR(__xludf.DUMMYFUNCTION("""COMPUTED_VALUE"""),"Heterosexuální")</f>
        <v>Heterosexuální</v>
      </c>
      <c r="P229" s="3">
        <f>IFERROR(__xludf.DUMMYFUNCTION("""COMPUTED_VALUE"""),23.1404958677686)</f>
        <v>23.14049587</v>
      </c>
    </row>
    <row r="230">
      <c r="N230" s="3">
        <f>IFERROR(__xludf.DUMMYFUNCTION("""COMPUTED_VALUE"""),2007.0)</f>
        <v>2007</v>
      </c>
      <c r="O230" s="3" t="str">
        <f>IFERROR(__xludf.DUMMYFUNCTION("""COMPUTED_VALUE"""),"Hemofilici")</f>
        <v>Hemofilici</v>
      </c>
      <c r="P230" s="3">
        <f>IFERROR(__xludf.DUMMYFUNCTION("""COMPUTED_VALUE"""),0.0)</f>
        <v>0</v>
      </c>
    </row>
    <row r="231">
      <c r="N231" s="3">
        <f>IFERROR(__xludf.DUMMYFUNCTION("""COMPUTED_VALUE"""),2007.0)</f>
        <v>2007</v>
      </c>
      <c r="O231" s="3" t="str">
        <f>IFERROR(__xludf.DUMMYFUNCTION("""COMPUTED_VALUE"""),"Příjemci krve a krevních přípravků")</f>
        <v>Příjemci krve a krevních přípravků</v>
      </c>
      <c r="P231" s="3">
        <f>IFERROR(__xludf.DUMMYFUNCTION("""COMPUTED_VALUE"""),0.0)</f>
        <v>0</v>
      </c>
    </row>
    <row r="232">
      <c r="N232" s="3">
        <f>IFERROR(__xludf.DUMMYFUNCTION("""COMPUTED_VALUE"""),2007.0)</f>
        <v>2007</v>
      </c>
      <c r="O232" s="3" t="str">
        <f>IFERROR(__xludf.DUMMYFUNCTION("""COMPUTED_VALUE"""),"Z matky na dítě")</f>
        <v>Z matky na dítě</v>
      </c>
      <c r="P232" s="3">
        <f>IFERROR(__xludf.DUMMYFUNCTION("""COMPUTED_VALUE"""),0.0)</f>
        <v>0</v>
      </c>
    </row>
    <row r="233">
      <c r="N233" s="3">
        <f>IFERROR(__xludf.DUMMYFUNCTION("""COMPUTED_VALUE"""),2007.0)</f>
        <v>2007</v>
      </c>
      <c r="O233" s="3" t="str">
        <f>IFERROR(__xludf.DUMMYFUNCTION("""COMPUTED_VALUE"""),"Nozokomiální")</f>
        <v>Nozokomiální</v>
      </c>
      <c r="P233" s="3">
        <f>IFERROR(__xludf.DUMMYFUNCTION("""COMPUTED_VALUE"""),0.0)</f>
        <v>0</v>
      </c>
    </row>
    <row r="234">
      <c r="N234" s="3">
        <f>IFERROR(__xludf.DUMMYFUNCTION("""COMPUTED_VALUE"""),2007.0)</f>
        <v>2007</v>
      </c>
      <c r="O234" s="3" t="str">
        <f>IFERROR(__xludf.DUMMYFUNCTION("""COMPUTED_VALUE"""),"Nezjištěný/jiný")</f>
        <v>Nezjištěný/jiný</v>
      </c>
      <c r="P234" s="3">
        <f>IFERROR(__xludf.DUMMYFUNCTION("""COMPUTED_VALUE"""),0.826446280991736)</f>
        <v>0.826446281</v>
      </c>
    </row>
    <row r="235">
      <c r="N235" s="3">
        <f>IFERROR(__xludf.DUMMYFUNCTION("""COMPUTED_VALUE"""),2007.0)</f>
        <v>2007</v>
      </c>
      <c r="O235" s="3" t="str">
        <f>IFERROR(__xludf.DUMMYFUNCTION("""COMPUTED_VALUE"""),"Celkem")</f>
        <v>Celkem</v>
      </c>
      <c r="P235" s="3">
        <f>IFERROR(__xludf.DUMMYFUNCTION("""COMPUTED_VALUE"""),100.0)</f>
        <v>100</v>
      </c>
    </row>
    <row r="236">
      <c r="N236" s="3">
        <f>IFERROR(__xludf.DUMMYFUNCTION("""COMPUTED_VALUE"""),2008.0)</f>
        <v>2008</v>
      </c>
      <c r="O236" s="3" t="str">
        <f>IFERROR(__xludf.DUMMYFUNCTION("""COMPUTED_VALUE"""),"Homosexuální/bisexuální")</f>
        <v>Homosexuální/bisexuální</v>
      </c>
      <c r="P236" s="3">
        <f>IFERROR(__xludf.DUMMYFUNCTION("""COMPUTED_VALUE"""),61.4864864864865)</f>
        <v>61.48648649</v>
      </c>
    </row>
    <row r="237">
      <c r="N237" s="3">
        <f>IFERROR(__xludf.DUMMYFUNCTION("""COMPUTED_VALUE"""),2008.0)</f>
        <v>2008</v>
      </c>
      <c r="O237" s="3" t="str">
        <f>IFERROR(__xludf.DUMMYFUNCTION("""COMPUTED_VALUE"""),"Injekční uživatelé drog")</f>
        <v>Injekční uživatelé drog</v>
      </c>
      <c r="P237" s="3">
        <f>IFERROR(__xludf.DUMMYFUNCTION("""COMPUTED_VALUE"""),6.08108108108108)</f>
        <v>6.081081081</v>
      </c>
    </row>
    <row r="238">
      <c r="N238" s="3">
        <f>IFERROR(__xludf.DUMMYFUNCTION("""COMPUTED_VALUE"""),2008.0)</f>
        <v>2008</v>
      </c>
      <c r="O238" s="3" t="str">
        <f>IFERROR(__xludf.DUMMYFUNCTION("""COMPUTED_VALUE"""),"Injekční uživatelé drog + homo/bisex")</f>
        <v>Injekční uživatelé drog + homo/bisex</v>
      </c>
      <c r="P238" s="3">
        <f>IFERROR(__xludf.DUMMYFUNCTION("""COMPUTED_VALUE"""),2.7027027027027)</f>
        <v>2.702702703</v>
      </c>
    </row>
    <row r="239">
      <c r="N239" s="3">
        <f>IFERROR(__xludf.DUMMYFUNCTION("""COMPUTED_VALUE"""),2008.0)</f>
        <v>2008</v>
      </c>
      <c r="O239" s="3" t="str">
        <f>IFERROR(__xludf.DUMMYFUNCTION("""COMPUTED_VALUE"""),"Heterosexuální")</f>
        <v>Heterosexuální</v>
      </c>
      <c r="P239" s="3">
        <f>IFERROR(__xludf.DUMMYFUNCTION("""COMPUTED_VALUE"""),28.3783783783784)</f>
        <v>28.37837838</v>
      </c>
    </row>
    <row r="240">
      <c r="N240" s="3">
        <f>IFERROR(__xludf.DUMMYFUNCTION("""COMPUTED_VALUE"""),2008.0)</f>
        <v>2008</v>
      </c>
      <c r="O240" s="3" t="str">
        <f>IFERROR(__xludf.DUMMYFUNCTION("""COMPUTED_VALUE"""),"Hemofilici")</f>
        <v>Hemofilici</v>
      </c>
      <c r="P240" s="3">
        <f>IFERROR(__xludf.DUMMYFUNCTION("""COMPUTED_VALUE"""),0.0)</f>
        <v>0</v>
      </c>
    </row>
    <row r="241">
      <c r="N241" s="3">
        <f>IFERROR(__xludf.DUMMYFUNCTION("""COMPUTED_VALUE"""),2008.0)</f>
        <v>2008</v>
      </c>
      <c r="O241" s="3" t="str">
        <f>IFERROR(__xludf.DUMMYFUNCTION("""COMPUTED_VALUE"""),"Příjemci krve a krevních přípravků")</f>
        <v>Příjemci krve a krevních přípravků</v>
      </c>
      <c r="P241" s="3">
        <f>IFERROR(__xludf.DUMMYFUNCTION("""COMPUTED_VALUE"""),0.0)</f>
        <v>0</v>
      </c>
    </row>
    <row r="242">
      <c r="N242" s="3">
        <f>IFERROR(__xludf.DUMMYFUNCTION("""COMPUTED_VALUE"""),2008.0)</f>
        <v>2008</v>
      </c>
      <c r="O242" s="3" t="str">
        <f>IFERROR(__xludf.DUMMYFUNCTION("""COMPUTED_VALUE"""),"Z matky na dítě")</f>
        <v>Z matky na dítě</v>
      </c>
      <c r="P242" s="3">
        <f>IFERROR(__xludf.DUMMYFUNCTION("""COMPUTED_VALUE"""),0.0)</f>
        <v>0</v>
      </c>
    </row>
    <row r="243">
      <c r="N243" s="3">
        <f>IFERROR(__xludf.DUMMYFUNCTION("""COMPUTED_VALUE"""),2008.0)</f>
        <v>2008</v>
      </c>
      <c r="O243" s="3" t="str">
        <f>IFERROR(__xludf.DUMMYFUNCTION("""COMPUTED_VALUE"""),"Nozokomiální")</f>
        <v>Nozokomiální</v>
      </c>
      <c r="P243" s="3">
        <f>IFERROR(__xludf.DUMMYFUNCTION("""COMPUTED_VALUE"""),0.0)</f>
        <v>0</v>
      </c>
    </row>
    <row r="244">
      <c r="N244" s="3">
        <f>IFERROR(__xludf.DUMMYFUNCTION("""COMPUTED_VALUE"""),2008.0)</f>
        <v>2008</v>
      </c>
      <c r="O244" s="3" t="str">
        <f>IFERROR(__xludf.DUMMYFUNCTION("""COMPUTED_VALUE"""),"Nezjištěný/jiný")</f>
        <v>Nezjištěný/jiný</v>
      </c>
      <c r="P244" s="3">
        <f>IFERROR(__xludf.DUMMYFUNCTION("""COMPUTED_VALUE"""),1.35135135135135)</f>
        <v>1.351351351</v>
      </c>
    </row>
    <row r="245">
      <c r="N245" s="3">
        <f>IFERROR(__xludf.DUMMYFUNCTION("""COMPUTED_VALUE"""),2008.0)</f>
        <v>2008</v>
      </c>
      <c r="O245" s="3" t="str">
        <f>IFERROR(__xludf.DUMMYFUNCTION("""COMPUTED_VALUE"""),"Celkem")</f>
        <v>Celkem</v>
      </c>
      <c r="P245" s="3">
        <f>IFERROR(__xludf.DUMMYFUNCTION("""COMPUTED_VALUE"""),100.0)</f>
        <v>100</v>
      </c>
    </row>
    <row r="246">
      <c r="N246" s="3">
        <f>IFERROR(__xludf.DUMMYFUNCTION("""COMPUTED_VALUE"""),2009.0)</f>
        <v>2009</v>
      </c>
      <c r="O246" s="3" t="str">
        <f>IFERROR(__xludf.DUMMYFUNCTION("""COMPUTED_VALUE"""),"Homosexuální/bisexuální")</f>
        <v>Homosexuální/bisexuální</v>
      </c>
      <c r="P246" s="3">
        <f>IFERROR(__xludf.DUMMYFUNCTION("""COMPUTED_VALUE"""),66.6666666666667)</f>
        <v>66.66666667</v>
      </c>
    </row>
    <row r="247">
      <c r="N247" s="3">
        <f>IFERROR(__xludf.DUMMYFUNCTION("""COMPUTED_VALUE"""),2009.0)</f>
        <v>2009</v>
      </c>
      <c r="O247" s="3" t="str">
        <f>IFERROR(__xludf.DUMMYFUNCTION("""COMPUTED_VALUE"""),"Injekční uživatelé drog")</f>
        <v>Injekční uživatelé drog</v>
      </c>
      <c r="P247" s="3">
        <f>IFERROR(__xludf.DUMMYFUNCTION("""COMPUTED_VALUE"""),2.56410256410256)</f>
        <v>2.564102564</v>
      </c>
    </row>
    <row r="248">
      <c r="N248" s="3">
        <f>IFERROR(__xludf.DUMMYFUNCTION("""COMPUTED_VALUE"""),2009.0)</f>
        <v>2009</v>
      </c>
      <c r="O248" s="3" t="str">
        <f>IFERROR(__xludf.DUMMYFUNCTION("""COMPUTED_VALUE"""),"Injekční uživatelé drog + homo/bisex")</f>
        <v>Injekční uživatelé drog + homo/bisex</v>
      </c>
      <c r="P248" s="3">
        <f>IFERROR(__xludf.DUMMYFUNCTION("""COMPUTED_VALUE"""),1.92307692307692)</f>
        <v>1.923076923</v>
      </c>
    </row>
    <row r="249">
      <c r="N249" s="3">
        <f>IFERROR(__xludf.DUMMYFUNCTION("""COMPUTED_VALUE"""),2009.0)</f>
        <v>2009</v>
      </c>
      <c r="O249" s="3" t="str">
        <f>IFERROR(__xludf.DUMMYFUNCTION("""COMPUTED_VALUE"""),"Heterosexuální")</f>
        <v>Heterosexuální</v>
      </c>
      <c r="P249" s="3">
        <f>IFERROR(__xludf.DUMMYFUNCTION("""COMPUTED_VALUE"""),27.5641025641026)</f>
        <v>27.56410256</v>
      </c>
    </row>
    <row r="250">
      <c r="N250" s="3">
        <f>IFERROR(__xludf.DUMMYFUNCTION("""COMPUTED_VALUE"""),2009.0)</f>
        <v>2009</v>
      </c>
      <c r="O250" s="3" t="str">
        <f>IFERROR(__xludf.DUMMYFUNCTION("""COMPUTED_VALUE"""),"Hemofilici")</f>
        <v>Hemofilici</v>
      </c>
      <c r="P250" s="3">
        <f>IFERROR(__xludf.DUMMYFUNCTION("""COMPUTED_VALUE"""),0.0)</f>
        <v>0</v>
      </c>
    </row>
    <row r="251">
      <c r="N251" s="3">
        <f>IFERROR(__xludf.DUMMYFUNCTION("""COMPUTED_VALUE"""),2009.0)</f>
        <v>2009</v>
      </c>
      <c r="O251" s="3" t="str">
        <f>IFERROR(__xludf.DUMMYFUNCTION("""COMPUTED_VALUE"""),"Příjemci krve a krevních přípravků")</f>
        <v>Příjemci krve a krevních přípravků</v>
      </c>
      <c r="P251" s="3">
        <f>IFERROR(__xludf.DUMMYFUNCTION("""COMPUTED_VALUE"""),0.0)</f>
        <v>0</v>
      </c>
    </row>
    <row r="252">
      <c r="N252" s="3">
        <f>IFERROR(__xludf.DUMMYFUNCTION("""COMPUTED_VALUE"""),2009.0)</f>
        <v>2009</v>
      </c>
      <c r="O252" s="3" t="str">
        <f>IFERROR(__xludf.DUMMYFUNCTION("""COMPUTED_VALUE"""),"Z matky na dítě")</f>
        <v>Z matky na dítě</v>
      </c>
      <c r="P252" s="3">
        <f>IFERROR(__xludf.DUMMYFUNCTION("""COMPUTED_VALUE"""),0.0)</f>
        <v>0</v>
      </c>
    </row>
    <row r="253">
      <c r="N253" s="3">
        <f>IFERROR(__xludf.DUMMYFUNCTION("""COMPUTED_VALUE"""),2009.0)</f>
        <v>2009</v>
      </c>
      <c r="O253" s="3" t="str">
        <f>IFERROR(__xludf.DUMMYFUNCTION("""COMPUTED_VALUE"""),"Nozokomiální")</f>
        <v>Nozokomiální</v>
      </c>
      <c r="P253" s="3">
        <f>IFERROR(__xludf.DUMMYFUNCTION("""COMPUTED_VALUE"""),0.0)</f>
        <v>0</v>
      </c>
    </row>
    <row r="254">
      <c r="N254" s="3">
        <f>IFERROR(__xludf.DUMMYFUNCTION("""COMPUTED_VALUE"""),2009.0)</f>
        <v>2009</v>
      </c>
      <c r="O254" s="3" t="str">
        <f>IFERROR(__xludf.DUMMYFUNCTION("""COMPUTED_VALUE"""),"Nezjištěný/jiný")</f>
        <v>Nezjištěný/jiný</v>
      </c>
      <c r="P254" s="3">
        <f>IFERROR(__xludf.DUMMYFUNCTION("""COMPUTED_VALUE"""),1.28205128205128)</f>
        <v>1.282051282</v>
      </c>
    </row>
    <row r="255">
      <c r="N255" s="3">
        <f>IFERROR(__xludf.DUMMYFUNCTION("""COMPUTED_VALUE"""),2009.0)</f>
        <v>2009</v>
      </c>
      <c r="O255" s="3" t="str">
        <f>IFERROR(__xludf.DUMMYFUNCTION("""COMPUTED_VALUE"""),"Celkem")</f>
        <v>Celkem</v>
      </c>
      <c r="P255" s="3">
        <f>IFERROR(__xludf.DUMMYFUNCTION("""COMPUTED_VALUE"""),100.0)</f>
        <v>100</v>
      </c>
    </row>
    <row r="256">
      <c r="N256" s="3">
        <f>IFERROR(__xludf.DUMMYFUNCTION("""COMPUTED_VALUE"""),2010.0)</f>
        <v>2010</v>
      </c>
      <c r="O256" s="3" t="str">
        <f>IFERROR(__xludf.DUMMYFUNCTION("""COMPUTED_VALUE"""),"Homosexuální/bisexuální")</f>
        <v>Homosexuální/bisexuální</v>
      </c>
      <c r="P256" s="3">
        <f>IFERROR(__xludf.DUMMYFUNCTION("""COMPUTED_VALUE"""),72.2222222222222)</f>
        <v>72.22222222</v>
      </c>
    </row>
    <row r="257">
      <c r="N257" s="3">
        <f>IFERROR(__xludf.DUMMYFUNCTION("""COMPUTED_VALUE"""),2010.0)</f>
        <v>2010</v>
      </c>
      <c r="O257" s="3" t="str">
        <f>IFERROR(__xludf.DUMMYFUNCTION("""COMPUTED_VALUE"""),"Injekční uživatelé drog")</f>
        <v>Injekční uživatelé drog</v>
      </c>
      <c r="P257" s="3">
        <f>IFERROR(__xludf.DUMMYFUNCTION("""COMPUTED_VALUE"""),2.22222222222222)</f>
        <v>2.222222222</v>
      </c>
    </row>
    <row r="258">
      <c r="N258" s="3">
        <f>IFERROR(__xludf.DUMMYFUNCTION("""COMPUTED_VALUE"""),2010.0)</f>
        <v>2010</v>
      </c>
      <c r="O258" s="3" t="str">
        <f>IFERROR(__xludf.DUMMYFUNCTION("""COMPUTED_VALUE"""),"Injekční uživatelé drog + homo/bisex")</f>
        <v>Injekční uživatelé drog + homo/bisex</v>
      </c>
      <c r="P258" s="3">
        <f>IFERROR(__xludf.DUMMYFUNCTION("""COMPUTED_VALUE"""),1.66666666666667)</f>
        <v>1.666666667</v>
      </c>
    </row>
    <row r="259">
      <c r="N259" s="3">
        <f>IFERROR(__xludf.DUMMYFUNCTION("""COMPUTED_VALUE"""),2010.0)</f>
        <v>2010</v>
      </c>
      <c r="O259" s="3" t="str">
        <f>IFERROR(__xludf.DUMMYFUNCTION("""COMPUTED_VALUE"""),"Heterosexuální")</f>
        <v>Heterosexuální</v>
      </c>
      <c r="P259" s="3">
        <f>IFERROR(__xludf.DUMMYFUNCTION("""COMPUTED_VALUE"""),21.6666666666667)</f>
        <v>21.66666667</v>
      </c>
    </row>
    <row r="260">
      <c r="N260" s="3">
        <f>IFERROR(__xludf.DUMMYFUNCTION("""COMPUTED_VALUE"""),2010.0)</f>
        <v>2010</v>
      </c>
      <c r="O260" s="3" t="str">
        <f>IFERROR(__xludf.DUMMYFUNCTION("""COMPUTED_VALUE"""),"Hemofilici")</f>
        <v>Hemofilici</v>
      </c>
      <c r="P260" s="3">
        <f>IFERROR(__xludf.DUMMYFUNCTION("""COMPUTED_VALUE"""),0.0)</f>
        <v>0</v>
      </c>
    </row>
    <row r="261">
      <c r="N261" s="3">
        <f>IFERROR(__xludf.DUMMYFUNCTION("""COMPUTED_VALUE"""),2010.0)</f>
        <v>2010</v>
      </c>
      <c r="O261" s="3" t="str">
        <f>IFERROR(__xludf.DUMMYFUNCTION("""COMPUTED_VALUE"""),"Příjemci krve a krevních přípravků")</f>
        <v>Příjemci krve a krevních přípravků</v>
      </c>
      <c r="P261" s="3">
        <f>IFERROR(__xludf.DUMMYFUNCTION("""COMPUTED_VALUE"""),0.0)</f>
        <v>0</v>
      </c>
    </row>
    <row r="262">
      <c r="N262" s="3">
        <f>IFERROR(__xludf.DUMMYFUNCTION("""COMPUTED_VALUE"""),2010.0)</f>
        <v>2010</v>
      </c>
      <c r="O262" s="3" t="str">
        <f>IFERROR(__xludf.DUMMYFUNCTION("""COMPUTED_VALUE"""),"Z matky na dítě")</f>
        <v>Z matky na dítě</v>
      </c>
      <c r="P262" s="3">
        <f>IFERROR(__xludf.DUMMYFUNCTION("""COMPUTED_VALUE"""),0.0)</f>
        <v>0</v>
      </c>
    </row>
    <row r="263">
      <c r="N263" s="3">
        <f>IFERROR(__xludf.DUMMYFUNCTION("""COMPUTED_VALUE"""),2010.0)</f>
        <v>2010</v>
      </c>
      <c r="O263" s="3" t="str">
        <f>IFERROR(__xludf.DUMMYFUNCTION("""COMPUTED_VALUE"""),"Nozokomiální")</f>
        <v>Nozokomiální</v>
      </c>
      <c r="P263" s="3">
        <f>IFERROR(__xludf.DUMMYFUNCTION("""COMPUTED_VALUE"""),0.0)</f>
        <v>0</v>
      </c>
    </row>
    <row r="264">
      <c r="N264" s="3">
        <f>IFERROR(__xludf.DUMMYFUNCTION("""COMPUTED_VALUE"""),2010.0)</f>
        <v>2010</v>
      </c>
      <c r="O264" s="3" t="str">
        <f>IFERROR(__xludf.DUMMYFUNCTION("""COMPUTED_VALUE"""),"Nezjištěný/jiný")</f>
        <v>Nezjištěný/jiný</v>
      </c>
      <c r="P264" s="3">
        <f>IFERROR(__xludf.DUMMYFUNCTION("""COMPUTED_VALUE"""),2.22222222222222)</f>
        <v>2.222222222</v>
      </c>
    </row>
    <row r="265">
      <c r="N265" s="3">
        <f>IFERROR(__xludf.DUMMYFUNCTION("""COMPUTED_VALUE"""),2010.0)</f>
        <v>2010</v>
      </c>
      <c r="O265" s="3" t="str">
        <f>IFERROR(__xludf.DUMMYFUNCTION("""COMPUTED_VALUE"""),"Celkem")</f>
        <v>Celkem</v>
      </c>
      <c r="P265" s="3">
        <f>IFERROR(__xludf.DUMMYFUNCTION("""COMPUTED_VALUE"""),100.0)</f>
        <v>100</v>
      </c>
    </row>
    <row r="266">
      <c r="N266" s="3">
        <f>IFERROR(__xludf.DUMMYFUNCTION("""COMPUTED_VALUE"""),2011.0)</f>
        <v>2011</v>
      </c>
      <c r="O266" s="3" t="str">
        <f>IFERROR(__xludf.DUMMYFUNCTION("""COMPUTED_VALUE"""),"Homosexuální/bisexuální")</f>
        <v>Homosexuální/bisexuální</v>
      </c>
      <c r="P266" s="3">
        <f>IFERROR(__xludf.DUMMYFUNCTION("""COMPUTED_VALUE"""),71.8954248366013)</f>
        <v>71.89542484</v>
      </c>
    </row>
    <row r="267">
      <c r="N267" s="3">
        <f>IFERROR(__xludf.DUMMYFUNCTION("""COMPUTED_VALUE"""),2011.0)</f>
        <v>2011</v>
      </c>
      <c r="O267" s="3" t="str">
        <f>IFERROR(__xludf.DUMMYFUNCTION("""COMPUTED_VALUE"""),"Injekční uživatelé drog")</f>
        <v>Injekční uživatelé drog</v>
      </c>
      <c r="P267" s="3">
        <f>IFERROR(__xludf.DUMMYFUNCTION("""COMPUTED_VALUE"""),3.92156862745098)</f>
        <v>3.921568627</v>
      </c>
    </row>
    <row r="268">
      <c r="N268" s="3">
        <f>IFERROR(__xludf.DUMMYFUNCTION("""COMPUTED_VALUE"""),2011.0)</f>
        <v>2011</v>
      </c>
      <c r="O268" s="3" t="str">
        <f>IFERROR(__xludf.DUMMYFUNCTION("""COMPUTED_VALUE"""),"Injekční uživatelé drog + homo/bisex")</f>
        <v>Injekční uživatelé drog + homo/bisex</v>
      </c>
      <c r="P268" s="3">
        <f>IFERROR(__xludf.DUMMYFUNCTION("""COMPUTED_VALUE"""),3.92156862745098)</f>
        <v>3.921568627</v>
      </c>
    </row>
    <row r="269">
      <c r="N269" s="3">
        <f>IFERROR(__xludf.DUMMYFUNCTION("""COMPUTED_VALUE"""),2011.0)</f>
        <v>2011</v>
      </c>
      <c r="O269" s="3" t="str">
        <f>IFERROR(__xludf.DUMMYFUNCTION("""COMPUTED_VALUE"""),"Heterosexuální")</f>
        <v>Heterosexuální</v>
      </c>
      <c r="P269" s="3">
        <f>IFERROR(__xludf.DUMMYFUNCTION("""COMPUTED_VALUE"""),16.9934640522876)</f>
        <v>16.99346405</v>
      </c>
    </row>
    <row r="270">
      <c r="N270" s="3">
        <f>IFERROR(__xludf.DUMMYFUNCTION("""COMPUTED_VALUE"""),2011.0)</f>
        <v>2011</v>
      </c>
      <c r="O270" s="3" t="str">
        <f>IFERROR(__xludf.DUMMYFUNCTION("""COMPUTED_VALUE"""),"Hemofilici")</f>
        <v>Hemofilici</v>
      </c>
      <c r="P270" s="3">
        <f>IFERROR(__xludf.DUMMYFUNCTION("""COMPUTED_VALUE"""),0.0)</f>
        <v>0</v>
      </c>
    </row>
    <row r="271">
      <c r="N271" s="3">
        <f>IFERROR(__xludf.DUMMYFUNCTION("""COMPUTED_VALUE"""),2011.0)</f>
        <v>2011</v>
      </c>
      <c r="O271" s="3" t="str">
        <f>IFERROR(__xludf.DUMMYFUNCTION("""COMPUTED_VALUE"""),"Příjemci krve a krevních přípravků")</f>
        <v>Příjemci krve a krevních přípravků</v>
      </c>
      <c r="P271" s="3">
        <f>IFERROR(__xludf.DUMMYFUNCTION("""COMPUTED_VALUE"""),0.0)</f>
        <v>0</v>
      </c>
    </row>
    <row r="272">
      <c r="N272" s="3">
        <f>IFERROR(__xludf.DUMMYFUNCTION("""COMPUTED_VALUE"""),2011.0)</f>
        <v>2011</v>
      </c>
      <c r="O272" s="3" t="str">
        <f>IFERROR(__xludf.DUMMYFUNCTION("""COMPUTED_VALUE"""),"Z matky na dítě")</f>
        <v>Z matky na dítě</v>
      </c>
      <c r="P272" s="3">
        <f>IFERROR(__xludf.DUMMYFUNCTION("""COMPUTED_VALUE"""),0.0)</f>
        <v>0</v>
      </c>
    </row>
    <row r="273">
      <c r="N273" s="3">
        <f>IFERROR(__xludf.DUMMYFUNCTION("""COMPUTED_VALUE"""),2011.0)</f>
        <v>2011</v>
      </c>
      <c r="O273" s="3" t="str">
        <f>IFERROR(__xludf.DUMMYFUNCTION("""COMPUTED_VALUE"""),"Nozokomiální")</f>
        <v>Nozokomiální</v>
      </c>
      <c r="P273" s="3">
        <f>IFERROR(__xludf.DUMMYFUNCTION("""COMPUTED_VALUE"""),0.65359477124183)</f>
        <v>0.6535947712</v>
      </c>
    </row>
    <row r="274">
      <c r="N274" s="3">
        <f>IFERROR(__xludf.DUMMYFUNCTION("""COMPUTED_VALUE"""),2011.0)</f>
        <v>2011</v>
      </c>
      <c r="O274" s="3" t="str">
        <f>IFERROR(__xludf.DUMMYFUNCTION("""COMPUTED_VALUE"""),"Nezjištěný/jiný")</f>
        <v>Nezjištěný/jiný</v>
      </c>
      <c r="P274" s="3">
        <f>IFERROR(__xludf.DUMMYFUNCTION("""COMPUTED_VALUE"""),2.61437908496732)</f>
        <v>2.614379085</v>
      </c>
    </row>
    <row r="275">
      <c r="N275" s="3">
        <f>IFERROR(__xludf.DUMMYFUNCTION("""COMPUTED_VALUE"""),2011.0)</f>
        <v>2011</v>
      </c>
      <c r="O275" s="3" t="str">
        <f>IFERROR(__xludf.DUMMYFUNCTION("""COMPUTED_VALUE"""),"Celkem")</f>
        <v>Celkem</v>
      </c>
      <c r="P275" s="3">
        <f>IFERROR(__xludf.DUMMYFUNCTION("""COMPUTED_VALUE"""),100.0)</f>
        <v>100</v>
      </c>
    </row>
    <row r="276">
      <c r="N276" s="3">
        <f>IFERROR(__xludf.DUMMYFUNCTION("""COMPUTED_VALUE"""),2012.0)</f>
        <v>2012</v>
      </c>
      <c r="O276" s="3" t="str">
        <f>IFERROR(__xludf.DUMMYFUNCTION("""COMPUTED_VALUE"""),"Homosexuální/bisexuální")</f>
        <v>Homosexuální/bisexuální</v>
      </c>
      <c r="P276" s="3">
        <f>IFERROR(__xludf.DUMMYFUNCTION("""COMPUTED_VALUE"""),71.6981132075472)</f>
        <v>71.69811321</v>
      </c>
    </row>
    <row r="277">
      <c r="N277" s="3">
        <f>IFERROR(__xludf.DUMMYFUNCTION("""COMPUTED_VALUE"""),2012.0)</f>
        <v>2012</v>
      </c>
      <c r="O277" s="3" t="str">
        <f>IFERROR(__xludf.DUMMYFUNCTION("""COMPUTED_VALUE"""),"Injekční uživatelé drog")</f>
        <v>Injekční uživatelé drog</v>
      </c>
      <c r="P277" s="3">
        <f>IFERROR(__xludf.DUMMYFUNCTION("""COMPUTED_VALUE"""),2.35849056603774)</f>
        <v>2.358490566</v>
      </c>
    </row>
    <row r="278">
      <c r="N278" s="3">
        <f>IFERROR(__xludf.DUMMYFUNCTION("""COMPUTED_VALUE"""),2012.0)</f>
        <v>2012</v>
      </c>
      <c r="O278" s="3" t="str">
        <f>IFERROR(__xludf.DUMMYFUNCTION("""COMPUTED_VALUE"""),"Injekční uživatelé drog + homo/bisex")</f>
        <v>Injekční uživatelé drog + homo/bisex</v>
      </c>
      <c r="P278" s="3">
        <f>IFERROR(__xludf.DUMMYFUNCTION("""COMPUTED_VALUE"""),2.35849056603774)</f>
        <v>2.358490566</v>
      </c>
    </row>
    <row r="279">
      <c r="N279" s="3">
        <f>IFERROR(__xludf.DUMMYFUNCTION("""COMPUTED_VALUE"""),2012.0)</f>
        <v>2012</v>
      </c>
      <c r="O279" s="3" t="str">
        <f>IFERROR(__xludf.DUMMYFUNCTION("""COMPUTED_VALUE"""),"Heterosexuální")</f>
        <v>Heterosexuální</v>
      </c>
      <c r="P279" s="3">
        <f>IFERROR(__xludf.DUMMYFUNCTION("""COMPUTED_VALUE"""),19.3396226415094)</f>
        <v>19.33962264</v>
      </c>
    </row>
    <row r="280">
      <c r="N280" s="3">
        <f>IFERROR(__xludf.DUMMYFUNCTION("""COMPUTED_VALUE"""),2012.0)</f>
        <v>2012</v>
      </c>
      <c r="O280" s="3" t="str">
        <f>IFERROR(__xludf.DUMMYFUNCTION("""COMPUTED_VALUE"""),"Hemofilici")</f>
        <v>Hemofilici</v>
      </c>
      <c r="P280" s="3">
        <f>IFERROR(__xludf.DUMMYFUNCTION("""COMPUTED_VALUE"""),0.0)</f>
        <v>0</v>
      </c>
    </row>
    <row r="281">
      <c r="N281" s="3">
        <f>IFERROR(__xludf.DUMMYFUNCTION("""COMPUTED_VALUE"""),2012.0)</f>
        <v>2012</v>
      </c>
      <c r="O281" s="3" t="str">
        <f>IFERROR(__xludf.DUMMYFUNCTION("""COMPUTED_VALUE"""),"Příjemci krve a krevních přípravků")</f>
        <v>Příjemci krve a krevních přípravků</v>
      </c>
      <c r="P281" s="3">
        <f>IFERROR(__xludf.DUMMYFUNCTION("""COMPUTED_VALUE"""),0.0)</f>
        <v>0</v>
      </c>
    </row>
    <row r="282">
      <c r="N282" s="3">
        <f>IFERROR(__xludf.DUMMYFUNCTION("""COMPUTED_VALUE"""),2012.0)</f>
        <v>2012</v>
      </c>
      <c r="O282" s="3" t="str">
        <f>IFERROR(__xludf.DUMMYFUNCTION("""COMPUTED_VALUE"""),"Z matky na dítě")</f>
        <v>Z matky na dítě</v>
      </c>
      <c r="P282" s="3">
        <f>IFERROR(__xludf.DUMMYFUNCTION("""COMPUTED_VALUE"""),0.943396226415094)</f>
        <v>0.9433962264</v>
      </c>
    </row>
    <row r="283">
      <c r="N283" s="3">
        <f>IFERROR(__xludf.DUMMYFUNCTION("""COMPUTED_VALUE"""),2012.0)</f>
        <v>2012</v>
      </c>
      <c r="O283" s="3" t="str">
        <f>IFERROR(__xludf.DUMMYFUNCTION("""COMPUTED_VALUE"""),"Nozokomiální")</f>
        <v>Nozokomiální</v>
      </c>
      <c r="P283" s="3">
        <f>IFERROR(__xludf.DUMMYFUNCTION("""COMPUTED_VALUE"""),0.471698113207547)</f>
        <v>0.4716981132</v>
      </c>
    </row>
    <row r="284">
      <c r="N284" s="3">
        <f>IFERROR(__xludf.DUMMYFUNCTION("""COMPUTED_VALUE"""),2012.0)</f>
        <v>2012</v>
      </c>
      <c r="O284" s="3" t="str">
        <f>IFERROR(__xludf.DUMMYFUNCTION("""COMPUTED_VALUE"""),"Nezjištěný/jiný")</f>
        <v>Nezjištěný/jiný</v>
      </c>
      <c r="P284" s="3">
        <f>IFERROR(__xludf.DUMMYFUNCTION("""COMPUTED_VALUE"""),2.83018867924528)</f>
        <v>2.830188679</v>
      </c>
    </row>
    <row r="285">
      <c r="N285" s="3">
        <f>IFERROR(__xludf.DUMMYFUNCTION("""COMPUTED_VALUE"""),2012.0)</f>
        <v>2012</v>
      </c>
      <c r="O285" s="3" t="str">
        <f>IFERROR(__xludf.DUMMYFUNCTION("""COMPUTED_VALUE"""),"Celkem")</f>
        <v>Celkem</v>
      </c>
      <c r="P285" s="3">
        <f>IFERROR(__xludf.DUMMYFUNCTION("""COMPUTED_VALUE"""),100.0)</f>
        <v>100</v>
      </c>
    </row>
    <row r="286">
      <c r="N286" s="3">
        <f>IFERROR(__xludf.DUMMYFUNCTION("""COMPUTED_VALUE"""),2013.0)</f>
        <v>2013</v>
      </c>
      <c r="O286" s="3" t="str">
        <f>IFERROR(__xludf.DUMMYFUNCTION("""COMPUTED_VALUE"""),"Homosexuální/bisexuální")</f>
        <v>Homosexuální/bisexuální</v>
      </c>
      <c r="P286" s="3">
        <f>IFERROR(__xludf.DUMMYFUNCTION("""COMPUTED_VALUE"""),74.8936170212766)</f>
        <v>74.89361702</v>
      </c>
    </row>
    <row r="287">
      <c r="N287" s="3">
        <f>IFERROR(__xludf.DUMMYFUNCTION("""COMPUTED_VALUE"""),2013.0)</f>
        <v>2013</v>
      </c>
      <c r="O287" s="3" t="str">
        <f>IFERROR(__xludf.DUMMYFUNCTION("""COMPUTED_VALUE"""),"Injekční uživatelé drog")</f>
        <v>Injekční uživatelé drog</v>
      </c>
      <c r="P287" s="3">
        <f>IFERROR(__xludf.DUMMYFUNCTION("""COMPUTED_VALUE"""),2.5531914893617)</f>
        <v>2.553191489</v>
      </c>
    </row>
    <row r="288">
      <c r="N288" s="3">
        <f>IFERROR(__xludf.DUMMYFUNCTION("""COMPUTED_VALUE"""),2013.0)</f>
        <v>2013</v>
      </c>
      <c r="O288" s="3" t="str">
        <f>IFERROR(__xludf.DUMMYFUNCTION("""COMPUTED_VALUE"""),"Injekční uživatelé drog + homo/bisex")</f>
        <v>Injekční uživatelé drog + homo/bisex</v>
      </c>
      <c r="P288" s="3">
        <f>IFERROR(__xludf.DUMMYFUNCTION("""COMPUTED_VALUE"""),1.70212765957447)</f>
        <v>1.70212766</v>
      </c>
    </row>
    <row r="289">
      <c r="N289" s="3">
        <f>IFERROR(__xludf.DUMMYFUNCTION("""COMPUTED_VALUE"""),2013.0)</f>
        <v>2013</v>
      </c>
      <c r="O289" s="3" t="str">
        <f>IFERROR(__xludf.DUMMYFUNCTION("""COMPUTED_VALUE"""),"Heterosexuální")</f>
        <v>Heterosexuální</v>
      </c>
      <c r="P289" s="3">
        <f>IFERROR(__xludf.DUMMYFUNCTION("""COMPUTED_VALUE"""),19.1489361702128)</f>
        <v>19.14893617</v>
      </c>
    </row>
    <row r="290">
      <c r="N290" s="3">
        <f>IFERROR(__xludf.DUMMYFUNCTION("""COMPUTED_VALUE"""),2013.0)</f>
        <v>2013</v>
      </c>
      <c r="O290" s="3" t="str">
        <f>IFERROR(__xludf.DUMMYFUNCTION("""COMPUTED_VALUE"""),"Hemofilici")</f>
        <v>Hemofilici</v>
      </c>
      <c r="P290" s="3">
        <f>IFERROR(__xludf.DUMMYFUNCTION("""COMPUTED_VALUE"""),0.0)</f>
        <v>0</v>
      </c>
    </row>
    <row r="291">
      <c r="N291" s="3">
        <f>IFERROR(__xludf.DUMMYFUNCTION("""COMPUTED_VALUE"""),2013.0)</f>
        <v>2013</v>
      </c>
      <c r="O291" s="3" t="str">
        <f>IFERROR(__xludf.DUMMYFUNCTION("""COMPUTED_VALUE"""),"Příjemci krve a krevních přípravků")</f>
        <v>Příjemci krve a krevních přípravků</v>
      </c>
      <c r="P291" s="3">
        <f>IFERROR(__xludf.DUMMYFUNCTION("""COMPUTED_VALUE"""),0.0)</f>
        <v>0</v>
      </c>
    </row>
    <row r="292">
      <c r="N292" s="3">
        <f>IFERROR(__xludf.DUMMYFUNCTION("""COMPUTED_VALUE"""),2013.0)</f>
        <v>2013</v>
      </c>
      <c r="O292" s="3" t="str">
        <f>IFERROR(__xludf.DUMMYFUNCTION("""COMPUTED_VALUE"""),"Z matky na dítě")</f>
        <v>Z matky na dítě</v>
      </c>
      <c r="P292" s="3">
        <f>IFERROR(__xludf.DUMMYFUNCTION("""COMPUTED_VALUE"""),0.0)</f>
        <v>0</v>
      </c>
    </row>
    <row r="293">
      <c r="N293" s="3">
        <f>IFERROR(__xludf.DUMMYFUNCTION("""COMPUTED_VALUE"""),2013.0)</f>
        <v>2013</v>
      </c>
      <c r="O293" s="3" t="str">
        <f>IFERROR(__xludf.DUMMYFUNCTION("""COMPUTED_VALUE"""),"Nozokomiální")</f>
        <v>Nozokomiální</v>
      </c>
      <c r="P293" s="3">
        <f>IFERROR(__xludf.DUMMYFUNCTION("""COMPUTED_VALUE"""),0.0)</f>
        <v>0</v>
      </c>
    </row>
    <row r="294">
      <c r="N294" s="3">
        <f>IFERROR(__xludf.DUMMYFUNCTION("""COMPUTED_VALUE"""),2013.0)</f>
        <v>2013</v>
      </c>
      <c r="O294" s="3" t="str">
        <f>IFERROR(__xludf.DUMMYFUNCTION("""COMPUTED_VALUE"""),"Nezjištěný/jiný")</f>
        <v>Nezjištěný/jiný</v>
      </c>
      <c r="P294" s="3">
        <f>IFERROR(__xludf.DUMMYFUNCTION("""COMPUTED_VALUE"""),1.70212765957447)</f>
        <v>1.70212766</v>
      </c>
    </row>
    <row r="295">
      <c r="N295" s="3">
        <f>IFERROR(__xludf.DUMMYFUNCTION("""COMPUTED_VALUE"""),2013.0)</f>
        <v>2013</v>
      </c>
      <c r="O295" s="3" t="str">
        <f>IFERROR(__xludf.DUMMYFUNCTION("""COMPUTED_VALUE"""),"Celkem")</f>
        <v>Celkem</v>
      </c>
      <c r="P295" s="3">
        <f>IFERROR(__xludf.DUMMYFUNCTION("""COMPUTED_VALUE"""),100.0)</f>
        <v>100</v>
      </c>
    </row>
    <row r="296">
      <c r="N296" s="3">
        <f>IFERROR(__xludf.DUMMYFUNCTION("""COMPUTED_VALUE"""),2014.0)</f>
        <v>2014</v>
      </c>
      <c r="O296" s="3" t="str">
        <f>IFERROR(__xludf.DUMMYFUNCTION("""COMPUTED_VALUE"""),"Homosexuální/bisexuální")</f>
        <v>Homosexuální/bisexuální</v>
      </c>
      <c r="P296" s="3">
        <f>IFERROR(__xludf.DUMMYFUNCTION("""COMPUTED_VALUE"""),71.551724137931)</f>
        <v>71.55172414</v>
      </c>
    </row>
    <row r="297">
      <c r="N297" s="3">
        <f>IFERROR(__xludf.DUMMYFUNCTION("""COMPUTED_VALUE"""),2014.0)</f>
        <v>2014</v>
      </c>
      <c r="O297" s="3" t="str">
        <f>IFERROR(__xludf.DUMMYFUNCTION("""COMPUTED_VALUE"""),"Injekční uživatelé drog")</f>
        <v>Injekční uživatelé drog</v>
      </c>
      <c r="P297" s="3">
        <f>IFERROR(__xludf.DUMMYFUNCTION("""COMPUTED_VALUE"""),3.87931034482759)</f>
        <v>3.879310345</v>
      </c>
    </row>
    <row r="298">
      <c r="N298" s="3">
        <f>IFERROR(__xludf.DUMMYFUNCTION("""COMPUTED_VALUE"""),2014.0)</f>
        <v>2014</v>
      </c>
      <c r="O298" s="3" t="str">
        <f>IFERROR(__xludf.DUMMYFUNCTION("""COMPUTED_VALUE"""),"Injekční uživatelé drog + homo/bisex")</f>
        <v>Injekční uživatelé drog + homo/bisex</v>
      </c>
      <c r="P298" s="3">
        <f>IFERROR(__xludf.DUMMYFUNCTION("""COMPUTED_VALUE"""),2.58620689655172)</f>
        <v>2.586206897</v>
      </c>
    </row>
    <row r="299">
      <c r="N299" s="3">
        <f>IFERROR(__xludf.DUMMYFUNCTION("""COMPUTED_VALUE"""),2014.0)</f>
        <v>2014</v>
      </c>
      <c r="O299" s="3" t="str">
        <f>IFERROR(__xludf.DUMMYFUNCTION("""COMPUTED_VALUE"""),"Heterosexuální")</f>
        <v>Heterosexuální</v>
      </c>
      <c r="P299" s="3">
        <f>IFERROR(__xludf.DUMMYFUNCTION("""COMPUTED_VALUE"""),19.3965517241379)</f>
        <v>19.39655172</v>
      </c>
    </row>
    <row r="300">
      <c r="N300" s="3">
        <f>IFERROR(__xludf.DUMMYFUNCTION("""COMPUTED_VALUE"""),2014.0)</f>
        <v>2014</v>
      </c>
      <c r="O300" s="3" t="str">
        <f>IFERROR(__xludf.DUMMYFUNCTION("""COMPUTED_VALUE"""),"Hemofilici")</f>
        <v>Hemofilici</v>
      </c>
      <c r="P300" s="3">
        <f>IFERROR(__xludf.DUMMYFUNCTION("""COMPUTED_VALUE"""),0.0)</f>
        <v>0</v>
      </c>
    </row>
    <row r="301">
      <c r="N301" s="3">
        <f>IFERROR(__xludf.DUMMYFUNCTION("""COMPUTED_VALUE"""),2014.0)</f>
        <v>2014</v>
      </c>
      <c r="O301" s="3" t="str">
        <f>IFERROR(__xludf.DUMMYFUNCTION("""COMPUTED_VALUE"""),"Příjemci krve a krevních přípravků")</f>
        <v>Příjemci krve a krevních přípravků</v>
      </c>
      <c r="P301" s="3">
        <f>IFERROR(__xludf.DUMMYFUNCTION("""COMPUTED_VALUE"""),0.0)</f>
        <v>0</v>
      </c>
    </row>
    <row r="302">
      <c r="N302" s="3">
        <f>IFERROR(__xludf.DUMMYFUNCTION("""COMPUTED_VALUE"""),2014.0)</f>
        <v>2014</v>
      </c>
      <c r="O302" s="3" t="str">
        <f>IFERROR(__xludf.DUMMYFUNCTION("""COMPUTED_VALUE"""),"Z matky na dítě")</f>
        <v>Z matky na dítě</v>
      </c>
      <c r="P302" s="3">
        <f>IFERROR(__xludf.DUMMYFUNCTION("""COMPUTED_VALUE"""),0.431034482758621)</f>
        <v>0.4310344828</v>
      </c>
    </row>
    <row r="303">
      <c r="N303" s="3">
        <f>IFERROR(__xludf.DUMMYFUNCTION("""COMPUTED_VALUE"""),2014.0)</f>
        <v>2014</v>
      </c>
      <c r="O303" s="3" t="str">
        <f>IFERROR(__xludf.DUMMYFUNCTION("""COMPUTED_VALUE"""),"Nozokomiální")</f>
        <v>Nozokomiální</v>
      </c>
      <c r="P303" s="3">
        <f>IFERROR(__xludf.DUMMYFUNCTION("""COMPUTED_VALUE"""),0.0)</f>
        <v>0</v>
      </c>
    </row>
    <row r="304">
      <c r="N304" s="3">
        <f>IFERROR(__xludf.DUMMYFUNCTION("""COMPUTED_VALUE"""),2014.0)</f>
        <v>2014</v>
      </c>
      <c r="O304" s="3" t="str">
        <f>IFERROR(__xludf.DUMMYFUNCTION("""COMPUTED_VALUE"""),"Nezjištěný/jiný")</f>
        <v>Nezjištěný/jiný</v>
      </c>
      <c r="P304" s="3">
        <f>IFERROR(__xludf.DUMMYFUNCTION("""COMPUTED_VALUE"""),2.1551724137931)</f>
        <v>2.155172414</v>
      </c>
    </row>
    <row r="305">
      <c r="N305" s="3">
        <f>IFERROR(__xludf.DUMMYFUNCTION("""COMPUTED_VALUE"""),2014.0)</f>
        <v>2014</v>
      </c>
      <c r="O305" s="3" t="str">
        <f>IFERROR(__xludf.DUMMYFUNCTION("""COMPUTED_VALUE"""),"Celkem")</f>
        <v>Celkem</v>
      </c>
      <c r="P305" s="3">
        <f>IFERROR(__xludf.DUMMYFUNCTION("""COMPUTED_VALUE"""),100.0)</f>
        <v>100</v>
      </c>
    </row>
    <row r="306">
      <c r="N306" s="3">
        <f>IFERROR(__xludf.DUMMYFUNCTION("""COMPUTED_VALUE"""),2015.0)</f>
        <v>2015</v>
      </c>
      <c r="O306" s="3" t="str">
        <f>IFERROR(__xludf.DUMMYFUNCTION("""COMPUTED_VALUE"""),"Homosexuální/bisexuální")</f>
        <v>Homosexuální/bisexuální</v>
      </c>
      <c r="P306" s="3">
        <f>IFERROR(__xludf.DUMMYFUNCTION("""COMPUTED_VALUE"""),77.0676691729323)</f>
        <v>77.06766917</v>
      </c>
    </row>
    <row r="307">
      <c r="N307" s="3">
        <f>IFERROR(__xludf.DUMMYFUNCTION("""COMPUTED_VALUE"""),2015.0)</f>
        <v>2015</v>
      </c>
      <c r="O307" s="3" t="str">
        <f>IFERROR(__xludf.DUMMYFUNCTION("""COMPUTED_VALUE"""),"Injekční uživatelé drog")</f>
        <v>Injekční uživatelé drog</v>
      </c>
      <c r="P307" s="3">
        <f>IFERROR(__xludf.DUMMYFUNCTION("""COMPUTED_VALUE"""),1.50375939849624)</f>
        <v>1.503759398</v>
      </c>
    </row>
    <row r="308">
      <c r="N308" s="3">
        <f>IFERROR(__xludf.DUMMYFUNCTION("""COMPUTED_VALUE"""),2015.0)</f>
        <v>2015</v>
      </c>
      <c r="O308" s="3" t="str">
        <f>IFERROR(__xludf.DUMMYFUNCTION("""COMPUTED_VALUE"""),"Injekční uživatelé drog + homo/bisex")</f>
        <v>Injekční uživatelé drog + homo/bisex</v>
      </c>
      <c r="P308" s="3">
        <f>IFERROR(__xludf.DUMMYFUNCTION("""COMPUTED_VALUE"""),2.63157894736842)</f>
        <v>2.631578947</v>
      </c>
    </row>
    <row r="309">
      <c r="N309" s="3">
        <f>IFERROR(__xludf.DUMMYFUNCTION("""COMPUTED_VALUE"""),2015.0)</f>
        <v>2015</v>
      </c>
      <c r="O309" s="3" t="str">
        <f>IFERROR(__xludf.DUMMYFUNCTION("""COMPUTED_VALUE"""),"Heterosexuální")</f>
        <v>Heterosexuální</v>
      </c>
      <c r="P309" s="3">
        <f>IFERROR(__xludf.DUMMYFUNCTION("""COMPUTED_VALUE"""),17.2932330827068)</f>
        <v>17.29323308</v>
      </c>
    </row>
    <row r="310">
      <c r="N310" s="3">
        <f>IFERROR(__xludf.DUMMYFUNCTION("""COMPUTED_VALUE"""),2015.0)</f>
        <v>2015</v>
      </c>
      <c r="O310" s="3" t="str">
        <f>IFERROR(__xludf.DUMMYFUNCTION("""COMPUTED_VALUE"""),"Hemofilici")</f>
        <v>Hemofilici</v>
      </c>
      <c r="P310" s="3">
        <f>IFERROR(__xludf.DUMMYFUNCTION("""COMPUTED_VALUE"""),0.0)</f>
        <v>0</v>
      </c>
    </row>
    <row r="311">
      <c r="N311" s="3">
        <f>IFERROR(__xludf.DUMMYFUNCTION("""COMPUTED_VALUE"""),2015.0)</f>
        <v>2015</v>
      </c>
      <c r="O311" s="3" t="str">
        <f>IFERROR(__xludf.DUMMYFUNCTION("""COMPUTED_VALUE"""),"Příjemci krve a krevních přípravků")</f>
        <v>Příjemci krve a krevních přípravků</v>
      </c>
      <c r="P311" s="3">
        <f>IFERROR(__xludf.DUMMYFUNCTION("""COMPUTED_VALUE"""),0.0)</f>
        <v>0</v>
      </c>
    </row>
    <row r="312">
      <c r="N312" s="3">
        <f>IFERROR(__xludf.DUMMYFUNCTION("""COMPUTED_VALUE"""),2015.0)</f>
        <v>2015</v>
      </c>
      <c r="O312" s="3" t="str">
        <f>IFERROR(__xludf.DUMMYFUNCTION("""COMPUTED_VALUE"""),"Z matky na dítě")</f>
        <v>Z matky na dítě</v>
      </c>
      <c r="P312" s="3">
        <f>IFERROR(__xludf.DUMMYFUNCTION("""COMPUTED_VALUE"""),0.0)</f>
        <v>0</v>
      </c>
    </row>
    <row r="313">
      <c r="N313" s="3">
        <f>IFERROR(__xludf.DUMMYFUNCTION("""COMPUTED_VALUE"""),2015.0)</f>
        <v>2015</v>
      </c>
      <c r="O313" s="3" t="str">
        <f>IFERROR(__xludf.DUMMYFUNCTION("""COMPUTED_VALUE"""),"Nozokomiální")</f>
        <v>Nozokomiální</v>
      </c>
      <c r="P313" s="3">
        <f>IFERROR(__xludf.DUMMYFUNCTION("""COMPUTED_VALUE"""),0.0)</f>
        <v>0</v>
      </c>
    </row>
    <row r="314">
      <c r="N314" s="3">
        <f>IFERROR(__xludf.DUMMYFUNCTION("""COMPUTED_VALUE"""),2015.0)</f>
        <v>2015</v>
      </c>
      <c r="O314" s="3" t="str">
        <f>IFERROR(__xludf.DUMMYFUNCTION("""COMPUTED_VALUE"""),"Nezjištěný/jiný")</f>
        <v>Nezjištěný/jiný</v>
      </c>
      <c r="P314" s="3">
        <f>IFERROR(__xludf.DUMMYFUNCTION("""COMPUTED_VALUE"""),1.50375939849624)</f>
        <v>1.503759398</v>
      </c>
    </row>
    <row r="315">
      <c r="N315" s="3">
        <f>IFERROR(__xludf.DUMMYFUNCTION("""COMPUTED_VALUE"""),2015.0)</f>
        <v>2015</v>
      </c>
      <c r="O315" s="3" t="str">
        <f>IFERROR(__xludf.DUMMYFUNCTION("""COMPUTED_VALUE"""),"Celkem")</f>
        <v>Celkem</v>
      </c>
      <c r="P315" s="3">
        <f>IFERROR(__xludf.DUMMYFUNCTION("""COMPUTED_VALUE"""),100.0)</f>
        <v>100</v>
      </c>
    </row>
    <row r="316">
      <c r="N316" s="3">
        <f>IFERROR(__xludf.DUMMYFUNCTION("""COMPUTED_VALUE"""),2016.0)</f>
        <v>2016</v>
      </c>
      <c r="O316" s="3" t="str">
        <f>IFERROR(__xludf.DUMMYFUNCTION("""COMPUTED_VALUE"""),"Homosexuální/bisexuální")</f>
        <v>Homosexuální/bisexuální</v>
      </c>
      <c r="P316" s="3">
        <f>IFERROR(__xludf.DUMMYFUNCTION("""COMPUTED_VALUE"""),73.0769230769231)</f>
        <v>73.07692308</v>
      </c>
    </row>
    <row r="317">
      <c r="N317" s="3">
        <f>IFERROR(__xludf.DUMMYFUNCTION("""COMPUTED_VALUE"""),2016.0)</f>
        <v>2016</v>
      </c>
      <c r="O317" s="3" t="str">
        <f>IFERROR(__xludf.DUMMYFUNCTION("""COMPUTED_VALUE"""),"Injekční uživatelé drog")</f>
        <v>Injekční uživatelé drog</v>
      </c>
      <c r="P317" s="3">
        <f>IFERROR(__xludf.DUMMYFUNCTION("""COMPUTED_VALUE"""),2.44755244755245)</f>
        <v>2.447552448</v>
      </c>
    </row>
    <row r="318">
      <c r="N318" s="3">
        <f>IFERROR(__xludf.DUMMYFUNCTION("""COMPUTED_VALUE"""),2016.0)</f>
        <v>2016</v>
      </c>
      <c r="O318" s="3" t="str">
        <f>IFERROR(__xludf.DUMMYFUNCTION("""COMPUTED_VALUE"""),"Injekční uživatelé drog + homo/bisex")</f>
        <v>Injekční uživatelé drog + homo/bisex</v>
      </c>
      <c r="P318" s="3">
        <f>IFERROR(__xludf.DUMMYFUNCTION("""COMPUTED_VALUE"""),1.3986013986014)</f>
        <v>1.398601399</v>
      </c>
    </row>
    <row r="319">
      <c r="N319" s="3">
        <f>IFERROR(__xludf.DUMMYFUNCTION("""COMPUTED_VALUE"""),2016.0)</f>
        <v>2016</v>
      </c>
      <c r="O319" s="3" t="str">
        <f>IFERROR(__xludf.DUMMYFUNCTION("""COMPUTED_VALUE"""),"Heterosexuální")</f>
        <v>Heterosexuální</v>
      </c>
      <c r="P319" s="3">
        <f>IFERROR(__xludf.DUMMYFUNCTION("""COMPUTED_VALUE"""),18.8811188811189)</f>
        <v>18.88111888</v>
      </c>
    </row>
    <row r="320">
      <c r="N320" s="3">
        <f>IFERROR(__xludf.DUMMYFUNCTION("""COMPUTED_VALUE"""),2016.0)</f>
        <v>2016</v>
      </c>
      <c r="O320" s="3" t="str">
        <f>IFERROR(__xludf.DUMMYFUNCTION("""COMPUTED_VALUE"""),"Hemofilici")</f>
        <v>Hemofilici</v>
      </c>
      <c r="P320" s="3">
        <f>IFERROR(__xludf.DUMMYFUNCTION("""COMPUTED_VALUE"""),0.0)</f>
        <v>0</v>
      </c>
    </row>
    <row r="321">
      <c r="N321" s="3">
        <f>IFERROR(__xludf.DUMMYFUNCTION("""COMPUTED_VALUE"""),2016.0)</f>
        <v>2016</v>
      </c>
      <c r="O321" s="3" t="str">
        <f>IFERROR(__xludf.DUMMYFUNCTION("""COMPUTED_VALUE"""),"Příjemci krve a krevních přípravků")</f>
        <v>Příjemci krve a krevních přípravků</v>
      </c>
      <c r="P321" s="3">
        <f>IFERROR(__xludf.DUMMYFUNCTION("""COMPUTED_VALUE"""),0.0)</f>
        <v>0</v>
      </c>
    </row>
    <row r="322">
      <c r="N322" s="3">
        <f>IFERROR(__xludf.DUMMYFUNCTION("""COMPUTED_VALUE"""),2016.0)</f>
        <v>2016</v>
      </c>
      <c r="O322" s="3" t="str">
        <f>IFERROR(__xludf.DUMMYFUNCTION("""COMPUTED_VALUE"""),"Z matky na dítě")</f>
        <v>Z matky na dítě</v>
      </c>
      <c r="P322" s="3">
        <f>IFERROR(__xludf.DUMMYFUNCTION("""COMPUTED_VALUE"""),0.699300699300699)</f>
        <v>0.6993006993</v>
      </c>
    </row>
    <row r="323">
      <c r="N323" s="3">
        <f>IFERROR(__xludf.DUMMYFUNCTION("""COMPUTED_VALUE"""),2016.0)</f>
        <v>2016</v>
      </c>
      <c r="O323" s="3" t="str">
        <f>IFERROR(__xludf.DUMMYFUNCTION("""COMPUTED_VALUE"""),"Nozokomiální")</f>
        <v>Nozokomiální</v>
      </c>
      <c r="P323" s="3">
        <f>IFERROR(__xludf.DUMMYFUNCTION("""COMPUTED_VALUE"""),0.34965034965035)</f>
        <v>0.3496503497</v>
      </c>
    </row>
    <row r="324">
      <c r="N324" s="3">
        <f>IFERROR(__xludf.DUMMYFUNCTION("""COMPUTED_VALUE"""),2016.0)</f>
        <v>2016</v>
      </c>
      <c r="O324" s="3" t="str">
        <f>IFERROR(__xludf.DUMMYFUNCTION("""COMPUTED_VALUE"""),"Nezjištěný/jiný")</f>
        <v>Nezjištěný/jiný</v>
      </c>
      <c r="P324" s="3">
        <f>IFERROR(__xludf.DUMMYFUNCTION("""COMPUTED_VALUE"""),3.14685314685315)</f>
        <v>3.146853147</v>
      </c>
    </row>
    <row r="325">
      <c r="N325" s="3">
        <f>IFERROR(__xludf.DUMMYFUNCTION("""COMPUTED_VALUE"""),2016.0)</f>
        <v>2016</v>
      </c>
      <c r="O325" s="3" t="str">
        <f>IFERROR(__xludf.DUMMYFUNCTION("""COMPUTED_VALUE"""),"Celkem")</f>
        <v>Celkem</v>
      </c>
      <c r="P325" s="3">
        <f>IFERROR(__xludf.DUMMYFUNCTION("""COMPUTED_VALUE"""),100.0)</f>
        <v>100</v>
      </c>
    </row>
    <row r="326">
      <c r="N326" s="3">
        <f>IFERROR(__xludf.DUMMYFUNCTION("""COMPUTED_VALUE"""),2017.0)</f>
        <v>2017</v>
      </c>
      <c r="O326" s="3" t="str">
        <f>IFERROR(__xludf.DUMMYFUNCTION("""COMPUTED_VALUE"""),"Homosexuální/bisexuální")</f>
        <v>Homosexuální/bisexuální</v>
      </c>
      <c r="P326" s="3">
        <f>IFERROR(__xludf.DUMMYFUNCTION("""COMPUTED_VALUE"""),70.4724409448819)</f>
        <v>70.47244094</v>
      </c>
    </row>
    <row r="327">
      <c r="N327" s="3">
        <f>IFERROR(__xludf.DUMMYFUNCTION("""COMPUTED_VALUE"""),2017.0)</f>
        <v>2017</v>
      </c>
      <c r="O327" s="3" t="str">
        <f>IFERROR(__xludf.DUMMYFUNCTION("""COMPUTED_VALUE"""),"Injekční uživatelé drog")</f>
        <v>Injekční uživatelé drog</v>
      </c>
      <c r="P327" s="3">
        <f>IFERROR(__xludf.DUMMYFUNCTION("""COMPUTED_VALUE"""),1.96850393700787)</f>
        <v>1.968503937</v>
      </c>
    </row>
    <row r="328">
      <c r="N328" s="3">
        <f>IFERROR(__xludf.DUMMYFUNCTION("""COMPUTED_VALUE"""),2017.0)</f>
        <v>2017</v>
      </c>
      <c r="O328" s="3" t="str">
        <f>IFERROR(__xludf.DUMMYFUNCTION("""COMPUTED_VALUE"""),"Injekční uživatelé drog + homo/bisex")</f>
        <v>Injekční uživatelé drog + homo/bisex</v>
      </c>
      <c r="P328" s="3">
        <f>IFERROR(__xludf.DUMMYFUNCTION("""COMPUTED_VALUE"""),1.18110236220472)</f>
        <v>1.181102362</v>
      </c>
    </row>
    <row r="329">
      <c r="N329" s="3">
        <f>IFERROR(__xludf.DUMMYFUNCTION("""COMPUTED_VALUE"""),2017.0)</f>
        <v>2017</v>
      </c>
      <c r="O329" s="3" t="str">
        <f>IFERROR(__xludf.DUMMYFUNCTION("""COMPUTED_VALUE"""),"Heterosexuální")</f>
        <v>Heterosexuální</v>
      </c>
      <c r="P329" s="3">
        <f>IFERROR(__xludf.DUMMYFUNCTION("""COMPUTED_VALUE"""),23.2283464566929)</f>
        <v>23.22834646</v>
      </c>
    </row>
    <row r="330">
      <c r="N330" s="3">
        <f>IFERROR(__xludf.DUMMYFUNCTION("""COMPUTED_VALUE"""),2017.0)</f>
        <v>2017</v>
      </c>
      <c r="O330" s="3" t="str">
        <f>IFERROR(__xludf.DUMMYFUNCTION("""COMPUTED_VALUE"""),"Hemofilici")</f>
        <v>Hemofilici</v>
      </c>
      <c r="P330" s="3">
        <f>IFERROR(__xludf.DUMMYFUNCTION("""COMPUTED_VALUE"""),0.0)</f>
        <v>0</v>
      </c>
    </row>
    <row r="331">
      <c r="N331" s="3">
        <f>IFERROR(__xludf.DUMMYFUNCTION("""COMPUTED_VALUE"""),2017.0)</f>
        <v>2017</v>
      </c>
      <c r="O331" s="3" t="str">
        <f>IFERROR(__xludf.DUMMYFUNCTION("""COMPUTED_VALUE"""),"Příjemci krve a krevních přípravků")</f>
        <v>Příjemci krve a krevních přípravků</v>
      </c>
      <c r="P331" s="3">
        <f>IFERROR(__xludf.DUMMYFUNCTION("""COMPUTED_VALUE"""),0.393700787401575)</f>
        <v>0.3937007874</v>
      </c>
    </row>
    <row r="332">
      <c r="N332" s="3">
        <f>IFERROR(__xludf.DUMMYFUNCTION("""COMPUTED_VALUE"""),2017.0)</f>
        <v>2017</v>
      </c>
      <c r="O332" s="3" t="str">
        <f>IFERROR(__xludf.DUMMYFUNCTION("""COMPUTED_VALUE"""),"Z matky na dítě")</f>
        <v>Z matky na dítě</v>
      </c>
      <c r="P332" s="3">
        <f>IFERROR(__xludf.DUMMYFUNCTION("""COMPUTED_VALUE"""),0.0)</f>
        <v>0</v>
      </c>
    </row>
    <row r="333">
      <c r="N333" s="3">
        <f>IFERROR(__xludf.DUMMYFUNCTION("""COMPUTED_VALUE"""),2017.0)</f>
        <v>2017</v>
      </c>
      <c r="O333" s="3" t="str">
        <f>IFERROR(__xludf.DUMMYFUNCTION("""COMPUTED_VALUE"""),"Nozokomiální")</f>
        <v>Nozokomiální</v>
      </c>
      <c r="P333" s="3">
        <f>IFERROR(__xludf.DUMMYFUNCTION("""COMPUTED_VALUE"""),0.78740157480315)</f>
        <v>0.7874015748</v>
      </c>
    </row>
    <row r="334">
      <c r="N334" s="3">
        <f>IFERROR(__xludf.DUMMYFUNCTION("""COMPUTED_VALUE"""),2017.0)</f>
        <v>2017</v>
      </c>
      <c r="O334" s="3" t="str">
        <f>IFERROR(__xludf.DUMMYFUNCTION("""COMPUTED_VALUE"""),"Nezjištěný/jiný")</f>
        <v>Nezjištěný/jiný</v>
      </c>
      <c r="P334" s="3">
        <f>IFERROR(__xludf.DUMMYFUNCTION("""COMPUTED_VALUE"""),1.96850393700787)</f>
        <v>1.968503937</v>
      </c>
    </row>
    <row r="335">
      <c r="N335" s="3">
        <f>IFERROR(__xludf.DUMMYFUNCTION("""COMPUTED_VALUE"""),2017.0)</f>
        <v>2017</v>
      </c>
      <c r="O335" s="3" t="str">
        <f>IFERROR(__xludf.DUMMYFUNCTION("""COMPUTED_VALUE"""),"Celkem")</f>
        <v>Celkem</v>
      </c>
      <c r="P335" s="3">
        <f>IFERROR(__xludf.DUMMYFUNCTION("""COMPUTED_VALUE"""),100.0)</f>
        <v>100</v>
      </c>
    </row>
    <row r="336">
      <c r="N336" s="3">
        <f>IFERROR(__xludf.DUMMYFUNCTION("""COMPUTED_VALUE"""),2018.0)</f>
        <v>2018</v>
      </c>
      <c r="O336" s="3" t="str">
        <f>IFERROR(__xludf.DUMMYFUNCTION("""COMPUTED_VALUE"""),"Homosexuální/bisexuální")</f>
        <v>Homosexuální/bisexuální</v>
      </c>
      <c r="P336" s="3">
        <f>IFERROR(__xludf.DUMMYFUNCTION("""COMPUTED_VALUE"""),64.4230769230769)</f>
        <v>64.42307692</v>
      </c>
    </row>
    <row r="337">
      <c r="N337" s="3">
        <f>IFERROR(__xludf.DUMMYFUNCTION("""COMPUTED_VALUE"""),2018.0)</f>
        <v>2018</v>
      </c>
      <c r="O337" s="3" t="str">
        <f>IFERROR(__xludf.DUMMYFUNCTION("""COMPUTED_VALUE"""),"Injekční uživatelé drog")</f>
        <v>Injekční uživatelé drog</v>
      </c>
      <c r="P337" s="3">
        <f>IFERROR(__xludf.DUMMYFUNCTION("""COMPUTED_VALUE"""),3.36538461538462)</f>
        <v>3.365384615</v>
      </c>
    </row>
    <row r="338">
      <c r="N338" s="3">
        <f>IFERROR(__xludf.DUMMYFUNCTION("""COMPUTED_VALUE"""),2018.0)</f>
        <v>2018</v>
      </c>
      <c r="O338" s="3" t="str">
        <f>IFERROR(__xludf.DUMMYFUNCTION("""COMPUTED_VALUE"""),"Injekční uživatelé drog + homo/bisex")</f>
        <v>Injekční uživatelé drog + homo/bisex</v>
      </c>
      <c r="P338" s="3">
        <f>IFERROR(__xludf.DUMMYFUNCTION("""COMPUTED_VALUE"""),1.92307692307692)</f>
        <v>1.923076923</v>
      </c>
    </row>
    <row r="339">
      <c r="N339" s="3">
        <f>IFERROR(__xludf.DUMMYFUNCTION("""COMPUTED_VALUE"""),2018.0)</f>
        <v>2018</v>
      </c>
      <c r="O339" s="3" t="str">
        <f>IFERROR(__xludf.DUMMYFUNCTION("""COMPUTED_VALUE"""),"Heterosexuální")</f>
        <v>Heterosexuální</v>
      </c>
      <c r="P339" s="3">
        <f>IFERROR(__xludf.DUMMYFUNCTION("""COMPUTED_VALUE"""),26.9230769230769)</f>
        <v>26.92307692</v>
      </c>
    </row>
    <row r="340">
      <c r="N340" s="3">
        <f>IFERROR(__xludf.DUMMYFUNCTION("""COMPUTED_VALUE"""),2018.0)</f>
        <v>2018</v>
      </c>
      <c r="O340" s="3" t="str">
        <f>IFERROR(__xludf.DUMMYFUNCTION("""COMPUTED_VALUE"""),"Hemofilici")</f>
        <v>Hemofilici</v>
      </c>
      <c r="P340" s="3">
        <f>IFERROR(__xludf.DUMMYFUNCTION("""COMPUTED_VALUE"""),0.0)</f>
        <v>0</v>
      </c>
    </row>
    <row r="341">
      <c r="N341" s="3">
        <f>IFERROR(__xludf.DUMMYFUNCTION("""COMPUTED_VALUE"""),2018.0)</f>
        <v>2018</v>
      </c>
      <c r="O341" s="3" t="str">
        <f>IFERROR(__xludf.DUMMYFUNCTION("""COMPUTED_VALUE"""),"Příjemci krve a krevních přípravků")</f>
        <v>Příjemci krve a krevních přípravků</v>
      </c>
      <c r="P341" s="3">
        <f>IFERROR(__xludf.DUMMYFUNCTION("""COMPUTED_VALUE"""),0.0)</f>
        <v>0</v>
      </c>
    </row>
    <row r="342">
      <c r="N342" s="3">
        <f>IFERROR(__xludf.DUMMYFUNCTION("""COMPUTED_VALUE"""),2018.0)</f>
        <v>2018</v>
      </c>
      <c r="O342" s="3" t="str">
        <f>IFERROR(__xludf.DUMMYFUNCTION("""COMPUTED_VALUE"""),"Z matky na dítě")</f>
        <v>Z matky na dítě</v>
      </c>
      <c r="P342" s="3">
        <f>IFERROR(__xludf.DUMMYFUNCTION("""COMPUTED_VALUE"""),0.0)</f>
        <v>0</v>
      </c>
    </row>
    <row r="343">
      <c r="N343" s="3">
        <f>IFERROR(__xludf.DUMMYFUNCTION("""COMPUTED_VALUE"""),2018.0)</f>
        <v>2018</v>
      </c>
      <c r="O343" s="3" t="str">
        <f>IFERROR(__xludf.DUMMYFUNCTION("""COMPUTED_VALUE"""),"Nozokomiální")</f>
        <v>Nozokomiální</v>
      </c>
      <c r="P343" s="3">
        <f>IFERROR(__xludf.DUMMYFUNCTION("""COMPUTED_VALUE"""),0.480769230769231)</f>
        <v>0.4807692308</v>
      </c>
    </row>
    <row r="344">
      <c r="N344" s="3">
        <f>IFERROR(__xludf.DUMMYFUNCTION("""COMPUTED_VALUE"""),2018.0)</f>
        <v>2018</v>
      </c>
      <c r="O344" s="3" t="str">
        <f>IFERROR(__xludf.DUMMYFUNCTION("""COMPUTED_VALUE"""),"Nezjištěný/jiný")</f>
        <v>Nezjištěný/jiný</v>
      </c>
      <c r="P344" s="3">
        <f>IFERROR(__xludf.DUMMYFUNCTION("""COMPUTED_VALUE"""),2.88461538461538)</f>
        <v>2.884615385</v>
      </c>
    </row>
    <row r="345">
      <c r="N345" s="3">
        <f>IFERROR(__xludf.DUMMYFUNCTION("""COMPUTED_VALUE"""),2018.0)</f>
        <v>2018</v>
      </c>
      <c r="O345" s="3" t="str">
        <f>IFERROR(__xludf.DUMMYFUNCTION("""COMPUTED_VALUE"""),"Celkem")</f>
        <v>Celkem</v>
      </c>
      <c r="P345" s="3">
        <f>IFERROR(__xludf.DUMMYFUNCTION("""COMPUTED_VALUE"""),100.0)</f>
        <v>100</v>
      </c>
    </row>
    <row r="346">
      <c r="N346" s="3">
        <f>IFERROR(__xludf.DUMMYFUNCTION("""COMPUTED_VALUE"""),2019.0)</f>
        <v>2019</v>
      </c>
      <c r="O346" s="3" t="str">
        <f>IFERROR(__xludf.DUMMYFUNCTION("""COMPUTED_VALUE"""),"Homosexuální/bisexuální")</f>
        <v>Homosexuální/bisexuální</v>
      </c>
      <c r="P346" s="3">
        <f>IFERROR(__xludf.DUMMYFUNCTION("""COMPUTED_VALUE"""),67.1171171171171)</f>
        <v>67.11711712</v>
      </c>
    </row>
    <row r="347">
      <c r="N347" s="3">
        <f>IFERROR(__xludf.DUMMYFUNCTION("""COMPUTED_VALUE"""),2019.0)</f>
        <v>2019</v>
      </c>
      <c r="O347" s="3" t="str">
        <f>IFERROR(__xludf.DUMMYFUNCTION("""COMPUTED_VALUE"""),"Injekční uživatelé drog")</f>
        <v>Injekční uživatelé drog</v>
      </c>
      <c r="P347" s="3">
        <f>IFERROR(__xludf.DUMMYFUNCTION("""COMPUTED_VALUE"""),3.6036036036036)</f>
        <v>3.603603604</v>
      </c>
    </row>
    <row r="348">
      <c r="N348" s="3">
        <f>IFERROR(__xludf.DUMMYFUNCTION("""COMPUTED_VALUE"""),2019.0)</f>
        <v>2019</v>
      </c>
      <c r="O348" s="3" t="str">
        <f>IFERROR(__xludf.DUMMYFUNCTION("""COMPUTED_VALUE"""),"Injekční uživatelé drog + homo/bisex")</f>
        <v>Injekční uživatelé drog + homo/bisex</v>
      </c>
      <c r="P348" s="3">
        <f>IFERROR(__xludf.DUMMYFUNCTION("""COMPUTED_VALUE"""),0.900900900900901)</f>
        <v>0.9009009009</v>
      </c>
    </row>
    <row r="349">
      <c r="N349" s="3">
        <f>IFERROR(__xludf.DUMMYFUNCTION("""COMPUTED_VALUE"""),2019.0)</f>
        <v>2019</v>
      </c>
      <c r="O349" s="3" t="str">
        <f>IFERROR(__xludf.DUMMYFUNCTION("""COMPUTED_VALUE"""),"Heterosexuální")</f>
        <v>Heterosexuální</v>
      </c>
      <c r="P349" s="3">
        <f>IFERROR(__xludf.DUMMYFUNCTION("""COMPUTED_VALUE"""),25.2252252252252)</f>
        <v>25.22522523</v>
      </c>
    </row>
    <row r="350">
      <c r="N350" s="3">
        <f>IFERROR(__xludf.DUMMYFUNCTION("""COMPUTED_VALUE"""),2019.0)</f>
        <v>2019</v>
      </c>
      <c r="O350" s="3" t="str">
        <f>IFERROR(__xludf.DUMMYFUNCTION("""COMPUTED_VALUE"""),"Hemofilici")</f>
        <v>Hemofilici</v>
      </c>
      <c r="P350" s="3">
        <f>IFERROR(__xludf.DUMMYFUNCTION("""COMPUTED_VALUE"""),0.0)</f>
        <v>0</v>
      </c>
    </row>
    <row r="351">
      <c r="N351" s="3">
        <f>IFERROR(__xludf.DUMMYFUNCTION("""COMPUTED_VALUE"""),2019.0)</f>
        <v>2019</v>
      </c>
      <c r="O351" s="3" t="str">
        <f>IFERROR(__xludf.DUMMYFUNCTION("""COMPUTED_VALUE"""),"Příjemci krve a krevních přípravků")</f>
        <v>Příjemci krve a krevních přípravků</v>
      </c>
      <c r="P351" s="3">
        <f>IFERROR(__xludf.DUMMYFUNCTION("""COMPUTED_VALUE"""),0.45045045045045)</f>
        <v>0.4504504505</v>
      </c>
    </row>
    <row r="352">
      <c r="N352" s="3">
        <f>IFERROR(__xludf.DUMMYFUNCTION("""COMPUTED_VALUE"""),2019.0)</f>
        <v>2019</v>
      </c>
      <c r="O352" s="3" t="str">
        <f>IFERROR(__xludf.DUMMYFUNCTION("""COMPUTED_VALUE"""),"Z matky na dítě")</f>
        <v>Z matky na dítě</v>
      </c>
      <c r="P352" s="3">
        <f>IFERROR(__xludf.DUMMYFUNCTION("""COMPUTED_VALUE"""),0.0)</f>
        <v>0</v>
      </c>
    </row>
    <row r="353">
      <c r="N353" s="3">
        <f>IFERROR(__xludf.DUMMYFUNCTION("""COMPUTED_VALUE"""),2019.0)</f>
        <v>2019</v>
      </c>
      <c r="O353" s="3" t="str">
        <f>IFERROR(__xludf.DUMMYFUNCTION("""COMPUTED_VALUE"""),"Nozokomiální")</f>
        <v>Nozokomiální</v>
      </c>
      <c r="P353" s="3">
        <f>IFERROR(__xludf.DUMMYFUNCTION("""COMPUTED_VALUE"""),0.45045045045045)</f>
        <v>0.4504504505</v>
      </c>
    </row>
    <row r="354">
      <c r="N354" s="3">
        <f>IFERROR(__xludf.DUMMYFUNCTION("""COMPUTED_VALUE"""),2019.0)</f>
        <v>2019</v>
      </c>
      <c r="O354" s="3" t="str">
        <f>IFERROR(__xludf.DUMMYFUNCTION("""COMPUTED_VALUE"""),"Nezjištěný/jiný")</f>
        <v>Nezjištěný/jiný</v>
      </c>
      <c r="P354" s="3">
        <f>IFERROR(__xludf.DUMMYFUNCTION("""COMPUTED_VALUE"""),2.25225225225225)</f>
        <v>2.252252252</v>
      </c>
    </row>
    <row r="355">
      <c r="N355" s="3">
        <f>IFERROR(__xludf.DUMMYFUNCTION("""COMPUTED_VALUE"""),2019.0)</f>
        <v>2019</v>
      </c>
      <c r="O355" s="3" t="str">
        <f>IFERROR(__xludf.DUMMYFUNCTION("""COMPUTED_VALUE"""),"Celkem")</f>
        <v>Celkem</v>
      </c>
      <c r="P355" s="3">
        <f>IFERROR(__xludf.DUMMYFUNCTION("""COMPUTED_VALUE"""),100.0)</f>
        <v>100</v>
      </c>
    </row>
    <row r="356">
      <c r="N356" s="3">
        <f>IFERROR(__xludf.DUMMYFUNCTION("""COMPUTED_VALUE"""),2020.0)</f>
        <v>2020</v>
      </c>
      <c r="O356" s="3" t="str">
        <f>IFERROR(__xludf.DUMMYFUNCTION("""COMPUTED_VALUE"""),"Homosexuální/bisexuální")</f>
        <v>Homosexuální/bisexuální</v>
      </c>
      <c r="P356" s="3">
        <f>IFERROR(__xludf.DUMMYFUNCTION("""COMPUTED_VALUE"""),57.3705179282869)</f>
        <v>57.37051793</v>
      </c>
    </row>
    <row r="357">
      <c r="N357" s="3">
        <f>IFERROR(__xludf.DUMMYFUNCTION("""COMPUTED_VALUE"""),2020.0)</f>
        <v>2020</v>
      </c>
      <c r="O357" s="3" t="str">
        <f>IFERROR(__xludf.DUMMYFUNCTION("""COMPUTED_VALUE"""),"Injekční uživatelé drog")</f>
        <v>Injekční uživatelé drog</v>
      </c>
      <c r="P357" s="3">
        <f>IFERROR(__xludf.DUMMYFUNCTION("""COMPUTED_VALUE"""),5.57768924302789)</f>
        <v>5.577689243</v>
      </c>
    </row>
    <row r="358">
      <c r="N358" s="3">
        <f>IFERROR(__xludf.DUMMYFUNCTION("""COMPUTED_VALUE"""),2020.0)</f>
        <v>2020</v>
      </c>
      <c r="O358" s="3" t="str">
        <f>IFERROR(__xludf.DUMMYFUNCTION("""COMPUTED_VALUE"""),"Injekční uživatelé drog + homo/bisex")</f>
        <v>Injekční uživatelé drog + homo/bisex</v>
      </c>
      <c r="P358" s="3">
        <f>IFERROR(__xludf.DUMMYFUNCTION("""COMPUTED_VALUE"""),0.398406374501992)</f>
        <v>0.3984063745</v>
      </c>
    </row>
    <row r="359">
      <c r="N359" s="3">
        <f>IFERROR(__xludf.DUMMYFUNCTION("""COMPUTED_VALUE"""),2020.0)</f>
        <v>2020</v>
      </c>
      <c r="O359" s="3" t="str">
        <f>IFERROR(__xludf.DUMMYFUNCTION("""COMPUTED_VALUE"""),"Heterosexuální")</f>
        <v>Heterosexuální</v>
      </c>
      <c r="P359" s="3">
        <f>IFERROR(__xludf.DUMMYFUNCTION("""COMPUTED_VALUE"""),32.6693227091633)</f>
        <v>32.66932271</v>
      </c>
    </row>
    <row r="360">
      <c r="N360" s="3">
        <f>IFERROR(__xludf.DUMMYFUNCTION("""COMPUTED_VALUE"""),2020.0)</f>
        <v>2020</v>
      </c>
      <c r="O360" s="3" t="str">
        <f>IFERROR(__xludf.DUMMYFUNCTION("""COMPUTED_VALUE"""),"Hemofilici")</f>
        <v>Hemofilici</v>
      </c>
      <c r="P360" s="3">
        <f>IFERROR(__xludf.DUMMYFUNCTION("""COMPUTED_VALUE"""),0.0)</f>
        <v>0</v>
      </c>
    </row>
    <row r="361">
      <c r="N361" s="3">
        <f>IFERROR(__xludf.DUMMYFUNCTION("""COMPUTED_VALUE"""),2020.0)</f>
        <v>2020</v>
      </c>
      <c r="O361" s="3" t="str">
        <f>IFERROR(__xludf.DUMMYFUNCTION("""COMPUTED_VALUE"""),"Příjemci krve a krevních přípravků")</f>
        <v>Příjemci krve a krevních přípravků</v>
      </c>
      <c r="P361" s="3">
        <f>IFERROR(__xludf.DUMMYFUNCTION("""COMPUTED_VALUE"""),0.0)</f>
        <v>0</v>
      </c>
    </row>
    <row r="362">
      <c r="N362" s="3">
        <f>IFERROR(__xludf.DUMMYFUNCTION("""COMPUTED_VALUE"""),2020.0)</f>
        <v>2020</v>
      </c>
      <c r="O362" s="3" t="str">
        <f>IFERROR(__xludf.DUMMYFUNCTION("""COMPUTED_VALUE"""),"Z matky na dítě")</f>
        <v>Z matky na dítě</v>
      </c>
      <c r="P362" s="3">
        <f>IFERROR(__xludf.DUMMYFUNCTION("""COMPUTED_VALUE"""),0.0)</f>
        <v>0</v>
      </c>
    </row>
    <row r="363">
      <c r="N363" s="3">
        <f>IFERROR(__xludf.DUMMYFUNCTION("""COMPUTED_VALUE"""),2020.0)</f>
        <v>2020</v>
      </c>
      <c r="O363" s="3" t="str">
        <f>IFERROR(__xludf.DUMMYFUNCTION("""COMPUTED_VALUE"""),"Nozokomiální")</f>
        <v>Nozokomiální</v>
      </c>
      <c r="P363" s="3">
        <f>IFERROR(__xludf.DUMMYFUNCTION("""COMPUTED_VALUE"""),0.398406374501992)</f>
        <v>0.3984063745</v>
      </c>
    </row>
    <row r="364">
      <c r="N364" s="3">
        <f>IFERROR(__xludf.DUMMYFUNCTION("""COMPUTED_VALUE"""),2020.0)</f>
        <v>2020</v>
      </c>
      <c r="O364" s="3" t="str">
        <f>IFERROR(__xludf.DUMMYFUNCTION("""COMPUTED_VALUE"""),"Nezjištěný/jiný")</f>
        <v>Nezjištěný/jiný</v>
      </c>
      <c r="P364" s="3">
        <f>IFERROR(__xludf.DUMMYFUNCTION("""COMPUTED_VALUE"""),3.58565737051793)</f>
        <v>3.585657371</v>
      </c>
    </row>
    <row r="365">
      <c r="N365" s="3">
        <f>IFERROR(__xludf.DUMMYFUNCTION("""COMPUTED_VALUE"""),2020.0)</f>
        <v>2020</v>
      </c>
      <c r="O365" s="3" t="str">
        <f>IFERROR(__xludf.DUMMYFUNCTION("""COMPUTED_VALUE"""),"Celkem")</f>
        <v>Celkem</v>
      </c>
      <c r="P365" s="3">
        <f>IFERROR(__xludf.DUMMYFUNCTION("""COMPUTED_VALUE"""),100.0)</f>
        <v>100</v>
      </c>
    </row>
  </sheetData>
  <drawing r:id="rId1"/>
</worksheet>
</file>